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showInkAnnotation="0" codeName="ThisWorkbook" defaultThemeVersion="124226"/>
  <mc:AlternateContent xmlns:mc="http://schemas.openxmlformats.org/markup-compatibility/2006">
    <mc:Choice Requires="x15">
      <x15ac:absPath xmlns:x15ac="http://schemas.microsoft.com/office/spreadsheetml/2010/11/ac" url="C:\Users\Manny_A\Documents\Website\4-Calculators\"/>
    </mc:Choice>
  </mc:AlternateContent>
  <workbookProtection workbookPassword="C917" lockStructure="1"/>
  <bookViews>
    <workbookView xWindow="0" yWindow="0" windowWidth="28800" windowHeight="14010" tabRatio="241"/>
  </bookViews>
  <sheets>
    <sheet name="Dioxin TEQs" sheetId="1" r:id="rId1"/>
  </sheets>
  <definedNames>
    <definedName name="ASN">'Dioxin TEQs'!$S$27</definedName>
    <definedName name="ASR">'Dioxin TEQs'!$U$27</definedName>
    <definedName name="AST">'Dioxin TEQs'!$R$27</definedName>
    <definedName name="ASU">'Dioxin TEQs'!$T$27</definedName>
    <definedName name="BCN">'Dioxin TEQs'!$S$28</definedName>
    <definedName name="BCR">'Dioxin TEQs'!$U$28</definedName>
    <definedName name="BCT">'Dioxin TEQs'!$R$28</definedName>
    <definedName name="BCU">'Dioxin TEQs'!$T$28</definedName>
    <definedName name="CASR">'Dioxin TEQs'!$W$27</definedName>
    <definedName name="CBCR">'Dioxin TEQs'!$W$28</definedName>
    <definedName name="IDEN">'Dioxin TEQs'!$S$26</definedName>
    <definedName name="IDER">'Dioxin TEQs'!$U$26</definedName>
    <definedName name="IDET">'Dioxin TEQs'!$R$26</definedName>
    <definedName name="IDEU">'Dioxin TEQs'!$T$26</definedName>
    <definedName name="List.">'Dioxin TEQs'!$S$7:$S$8</definedName>
    <definedName name="_xlnm.Print_Area" localSheetId="0">'Dioxin TEQs'!$A$1:$H$67</definedName>
    <definedName name="_xlnm.Print_Titles" localSheetId="0">'Dioxin TEQs'!$1:$12</definedName>
    <definedName name="RDEN">'Dioxin TEQs'!$S$25</definedName>
    <definedName name="RDER">'Dioxin TEQs'!$U$25</definedName>
    <definedName name="RDET">'Dioxin TEQs'!$R$25</definedName>
    <definedName name="RDEU">'Dioxin TEQs'!$T$25</definedName>
    <definedName name="TEQ">'Dioxin TEQs'!$P$13</definedName>
    <definedName name="UN">'Dioxin TEQs'!$R$14</definedName>
    <definedName name="Units.">'Dioxin TEQs'!$S$7:$S$8</definedName>
  </definedNames>
  <calcPr calcId="171027"/>
</workbook>
</file>

<file path=xl/calcChain.xml><?xml version="1.0" encoding="utf-8"?>
<calcChain xmlns="http://schemas.openxmlformats.org/spreadsheetml/2006/main">
  <c r="V28" i="1" l="1"/>
  <c r="W28" i="1" s="1"/>
  <c r="B49" i="1"/>
  <c r="B48" i="1"/>
  <c r="B38" i="1"/>
  <c r="B47" i="1" s="1"/>
  <c r="B17" i="1"/>
  <c r="B26" i="1" s="1"/>
  <c r="V27" i="1"/>
  <c r="W27" i="1" s="1"/>
  <c r="S46" i="1"/>
  <c r="T46" i="1"/>
  <c r="H6" i="1"/>
  <c r="G6" i="1" s="1"/>
  <c r="H5" i="1"/>
  <c r="A61" i="1" s="1"/>
  <c r="D63" i="1"/>
  <c r="E63" i="1"/>
  <c r="F63" i="1"/>
  <c r="G63" i="1"/>
  <c r="H63" i="1"/>
  <c r="C63" i="1"/>
  <c r="S28" i="1"/>
  <c r="A67" i="1"/>
  <c r="T28" i="1"/>
  <c r="S27" i="1"/>
  <c r="S26" i="1"/>
  <c r="T26" i="1"/>
  <c r="H26" i="1"/>
  <c r="G26" i="1"/>
  <c r="F26" i="1"/>
  <c r="E26" i="1"/>
  <c r="D26" i="1"/>
  <c r="H17" i="1"/>
  <c r="G17" i="1"/>
  <c r="F17" i="1"/>
  <c r="E17" i="1"/>
  <c r="D17" i="1"/>
  <c r="B57" i="1"/>
  <c r="B56" i="1"/>
  <c r="B55" i="1"/>
  <c r="B54" i="1"/>
  <c r="B53" i="1"/>
  <c r="B52" i="1"/>
  <c r="B51" i="1"/>
  <c r="B50" i="1"/>
  <c r="B45" i="1"/>
  <c r="D45" i="1" s="1"/>
  <c r="F45" i="1"/>
  <c r="B44" i="1"/>
  <c r="F44" i="1" s="1"/>
  <c r="B43" i="1"/>
  <c r="F43" i="1" s="1"/>
  <c r="G43" i="1"/>
  <c r="B42" i="1"/>
  <c r="D42" i="1"/>
  <c r="B41" i="1"/>
  <c r="D41" i="1" s="1"/>
  <c r="B40" i="1"/>
  <c r="D40" i="1" s="1"/>
  <c r="B39" i="1"/>
  <c r="H39" i="1" s="1"/>
  <c r="S25" i="1"/>
  <c r="T25" i="1"/>
  <c r="U25" i="1"/>
  <c r="C26" i="1"/>
  <c r="C17" i="1"/>
  <c r="B36" i="1"/>
  <c r="E57" i="1"/>
  <c r="D57" i="1"/>
  <c r="B35" i="1"/>
  <c r="F56" i="1" s="1"/>
  <c r="B34" i="1"/>
  <c r="E55" i="1" s="1"/>
  <c r="F55" i="1"/>
  <c r="B33" i="1"/>
  <c r="H54" i="1"/>
  <c r="B32" i="1"/>
  <c r="D53" i="1" s="1"/>
  <c r="B31" i="1"/>
  <c r="F52" i="1" s="1"/>
  <c r="B30" i="1"/>
  <c r="E51" i="1"/>
  <c r="B29" i="1"/>
  <c r="E50" i="1" s="1"/>
  <c r="B28" i="1"/>
  <c r="D49" i="1" s="1"/>
  <c r="B27" i="1"/>
  <c r="E48" i="1" s="1"/>
  <c r="B24" i="1"/>
  <c r="B23" i="1"/>
  <c r="B22" i="1"/>
  <c r="B21" i="1"/>
  <c r="B20" i="1"/>
  <c r="B19" i="1"/>
  <c r="B18" i="1"/>
  <c r="T27" i="1"/>
  <c r="H45" i="1"/>
  <c r="C55" i="1"/>
  <c r="G55" i="1"/>
  <c r="H56" i="1"/>
  <c r="G40" i="1"/>
  <c r="D56" i="1"/>
  <c r="E56" i="1"/>
  <c r="E40" i="1"/>
  <c r="C42" i="1"/>
  <c r="F54" i="1"/>
  <c r="D54" i="1"/>
  <c r="H42" i="1"/>
  <c r="G54" i="1"/>
  <c r="C54" i="1"/>
  <c r="E42" i="1"/>
  <c r="G42" i="1"/>
  <c r="E54" i="1"/>
  <c r="G57" i="1"/>
  <c r="C43" i="1"/>
  <c r="C41" i="1"/>
  <c r="H43" i="1"/>
  <c r="H40" i="1"/>
  <c r="F42" i="1"/>
  <c r="F41" i="1"/>
  <c r="D43" i="1"/>
  <c r="F48" i="1"/>
  <c r="E45" i="1"/>
  <c r="C45" i="1"/>
  <c r="G5" i="1"/>
  <c r="D51" i="1"/>
  <c r="C51" i="1"/>
  <c r="C57" i="1"/>
  <c r="G51" i="1"/>
  <c r="H57" i="1"/>
  <c r="U26" i="1"/>
  <c r="A59" i="1"/>
  <c r="H51" i="1"/>
  <c r="F57" i="1"/>
  <c r="G53" i="1"/>
  <c r="G45" i="1"/>
  <c r="F51" i="1"/>
  <c r="F49" i="1"/>
  <c r="C53" i="1"/>
  <c r="C49" i="1"/>
  <c r="A64" i="1"/>
  <c r="U28" i="1"/>
  <c r="D52" i="1" l="1"/>
  <c r="H52" i="1"/>
  <c r="C40" i="1"/>
  <c r="C56" i="1"/>
  <c r="A66" i="1"/>
  <c r="H48" i="1"/>
  <c r="G52" i="1"/>
  <c r="D39" i="1"/>
  <c r="A65" i="1"/>
  <c r="G49" i="1"/>
  <c r="C52" i="1"/>
  <c r="E44" i="1"/>
  <c r="E49" i="1"/>
  <c r="G56" i="1"/>
  <c r="H49" i="1"/>
  <c r="F40" i="1"/>
  <c r="A60" i="1"/>
  <c r="E52" i="1"/>
  <c r="H44" i="1"/>
  <c r="D48" i="1"/>
  <c r="G39" i="1"/>
  <c r="C44" i="1"/>
  <c r="G44" i="1"/>
  <c r="D44" i="1"/>
  <c r="F39" i="1"/>
  <c r="F59" i="1" s="1"/>
  <c r="C48" i="1"/>
  <c r="C50" i="1"/>
  <c r="F53" i="1"/>
  <c r="F50" i="1"/>
  <c r="F60" i="1" s="1"/>
  <c r="F61" i="1" s="1"/>
  <c r="E43" i="1"/>
  <c r="G48" i="1"/>
  <c r="H55" i="1"/>
  <c r="D55" i="1"/>
  <c r="H50" i="1"/>
  <c r="E53" i="1"/>
  <c r="E41" i="1"/>
  <c r="E39" i="1"/>
  <c r="U27" i="1"/>
  <c r="D50" i="1"/>
  <c r="H53" i="1"/>
  <c r="G41" i="1"/>
  <c r="G59" i="1" s="1"/>
  <c r="G50" i="1"/>
  <c r="H41" i="1"/>
  <c r="H59" i="1" s="1"/>
  <c r="C39" i="1"/>
  <c r="C59" i="1" s="1"/>
  <c r="D59" i="1" l="1"/>
  <c r="E60" i="1"/>
  <c r="H60" i="1"/>
  <c r="F64" i="1"/>
  <c r="F65" i="1"/>
  <c r="F66" i="1"/>
  <c r="F67" i="1"/>
  <c r="E61" i="1"/>
  <c r="H61" i="1"/>
  <c r="C60" i="1"/>
  <c r="C61" i="1" s="1"/>
  <c r="G60" i="1"/>
  <c r="G61" i="1" s="1"/>
  <c r="D60" i="1"/>
  <c r="E59" i="1"/>
  <c r="D61" i="1" l="1"/>
  <c r="G66" i="1"/>
  <c r="G67" i="1"/>
  <c r="G64" i="1"/>
  <c r="G65" i="1"/>
  <c r="C67" i="1"/>
  <c r="C66" i="1"/>
  <c r="C65" i="1"/>
  <c r="C64" i="1"/>
  <c r="H66" i="1"/>
  <c r="H65" i="1"/>
  <c r="H67" i="1"/>
  <c r="H64" i="1"/>
  <c r="E65" i="1"/>
  <c r="E67" i="1"/>
  <c r="E64" i="1"/>
  <c r="E66" i="1"/>
  <c r="D67" i="1"/>
  <c r="D64" i="1"/>
  <c r="D65" i="1"/>
  <c r="D66" i="1"/>
</calcChain>
</file>

<file path=xl/sharedStrings.xml><?xml version="1.0" encoding="utf-8"?>
<sst xmlns="http://schemas.openxmlformats.org/spreadsheetml/2006/main" count="158" uniqueCount="101">
  <si>
    <t>1,2,3,7,8-PeCDD</t>
  </si>
  <si>
    <t>1,2,3,4,7,8-HxCDD</t>
  </si>
  <si>
    <t>1,2,3,6,7,8-HxCDD</t>
  </si>
  <si>
    <t>1,2,3,7,8,9-HxCDD</t>
  </si>
  <si>
    <t>1,2,3,4,6,7,8-HpCDD</t>
  </si>
  <si>
    <t>OCDD</t>
  </si>
  <si>
    <t>Polychlorinated dibenzofurans</t>
  </si>
  <si>
    <t>2,3,7,8-TCDF</t>
  </si>
  <si>
    <t>1,2,3,7,8-PeCDF</t>
  </si>
  <si>
    <t>2,3,4,7,8-PeCDF</t>
  </si>
  <si>
    <t>1,2,3,4,7,8-HxCDF</t>
  </si>
  <si>
    <t>1,2,3,6,7,8-HxCDF</t>
  </si>
  <si>
    <t>1,2,3,7,8,9-HxCDF</t>
  </si>
  <si>
    <t>2,3,4,6,7,8-HxCDF</t>
  </si>
  <si>
    <t>1,2,3,4,6,7,8-HpCDF</t>
  </si>
  <si>
    <t>1,2,3,4,7,8,9-HpCDF</t>
  </si>
  <si>
    <t>OCDF</t>
  </si>
  <si>
    <t xml:space="preserve"> </t>
  </si>
  <si>
    <t>2,3,7,8-TCDD Equivalents</t>
  </si>
  <si>
    <t>Site Name:</t>
  </si>
  <si>
    <t>Location:</t>
  </si>
  <si>
    <t>Facility ID No.:</t>
  </si>
  <si>
    <t>Sample Date</t>
  </si>
  <si>
    <t>Depth (ft):</t>
  </si>
  <si>
    <t>Congener</t>
  </si>
  <si>
    <t>Polychlorinated dibenzodioxins</t>
  </si>
  <si>
    <t>2,3,7,8-TCDD</t>
  </si>
  <si>
    <t>For Direct Exposure Soil Cleanup Target Levels</t>
  </si>
  <si>
    <t>DE Residential = 7.0e-06 mg/kg;  DE Industrial = 3.0e-05 mg/kg</t>
  </si>
  <si>
    <t>The concentration shown does not exceed the Residential Direct Exposure SCTL of 7.0e-06 mg/kg.</t>
  </si>
  <si>
    <t>The concentration shown EXCEEDS the Residential Direct Exposure SCTL of 7.0e-06 mg/kg.</t>
  </si>
  <si>
    <t>The concentration shown does not exceed the Industrial Direct Exposure SCTL of 3.0e-05 mg/kg.</t>
  </si>
  <si>
    <t>The concentration shown EXCEEDS the Industrial Direct Exposure SCTL of 3.0e-05 mg/kg.</t>
  </si>
  <si>
    <t xml:space="preserve">1. If quantified with certainty or estimated and has the "J" qualifier enter the reported value; </t>
  </si>
  <si>
    <t>Summary Criteria for Table Entries</t>
  </si>
  <si>
    <t>Detection</t>
  </si>
  <si>
    <t>Concentration Reported</t>
  </si>
  <si>
    <t>Data Qualifier</t>
  </si>
  <si>
    <t>Enter</t>
  </si>
  <si>
    <t>Quantified with certainty</t>
  </si>
  <si>
    <t>None</t>
  </si>
  <si>
    <t>reported value</t>
  </si>
  <si>
    <t>Estimated</t>
  </si>
  <si>
    <t>J</t>
  </si>
  <si>
    <t>ND at MDL</t>
  </si>
  <si>
    <t>MDL</t>
  </si>
  <si>
    <t>U</t>
  </si>
  <si>
    <t>1/2 reported value</t>
  </si>
  <si>
    <t>≤ MDL</t>
  </si>
  <si>
    <t>T</t>
  </si>
  <si>
    <t>reported (estimated) value</t>
  </si>
  <si>
    <t>≥ MDL but &lt; PQL</t>
  </si>
  <si>
    <t>I</t>
  </si>
  <si>
    <t>Not estimated</t>
  </si>
  <si>
    <t>M</t>
  </si>
  <si>
    <t>EMPC</t>
  </si>
  <si>
    <t>EDL</t>
  </si>
  <si>
    <t>Reported</t>
  </si>
  <si>
    <t xml:space="preserve">Calculate TEQs using: </t>
  </si>
  <si>
    <t>WHO 1998 TEFs</t>
  </si>
  <si>
    <t>WHO 2005 TEFs</t>
  </si>
  <si>
    <t>(TEF = Toxic Equivalency Factor)</t>
  </si>
  <si>
    <t>Dioxin/Furan Conversion Table</t>
  </si>
  <si>
    <t>mg/kg</t>
  </si>
  <si>
    <t>ng/kg</t>
  </si>
  <si>
    <t>Residential Direct Exposure SCTL</t>
  </si>
  <si>
    <t>Industrial Direct Exposure SCTL</t>
  </si>
  <si>
    <t>Alternative SCTL</t>
  </si>
  <si>
    <t>Alternative SCTL (Optional):</t>
  </si>
  <si>
    <t>Concentration Units:</t>
  </si>
  <si>
    <t>Site Specific Background (Optional):</t>
  </si>
  <si>
    <t>Polychlorinated dibenzodioxin Equivalents</t>
  </si>
  <si>
    <t>Polychlorinated dibenzofurans Equivalents</t>
  </si>
  <si>
    <r>
      <t>Instructions:</t>
    </r>
    <r>
      <rPr>
        <sz val="11"/>
        <rFont val="Arial"/>
        <family val="2"/>
      </rPr>
      <t xml:space="preserve">  Calculate 2,3,7,8-TCDD Equivalents only if at least one of the dioxin congeners is detected in the sample at a concentration equal to or higher than the Method Detection Limit (MDL), whether quantified with certainty (the concentration reported has no qualifier) or estimated (the concentration reported has a "J", “T” or “I” qualifier).  Enter each congener concentration (in mg/kg)  in the yellow boxes using the following criteria:</t>
    </r>
  </si>
  <si>
    <r>
      <t>For more information:</t>
    </r>
    <r>
      <rPr>
        <sz val="11"/>
        <rFont val="Arial"/>
        <family val="2"/>
      </rPr>
      <t xml:space="preserve"> see Section V.C.7 (p. 59) "Development of SCTLs for Polychlorinated Dibenzodioxins (PCDDs) and Polychlorinated Dibenzofurans (PCDFs)" in "Technical Report: Development of Cleanup Target Levels (CTLs) for Chapter 62-777", Final dated February 2005</t>
    </r>
  </si>
  <si>
    <t>Does This Sample Exceed:</t>
  </si>
  <si>
    <t>Soil Sample #</t>
  </si>
  <si>
    <t>Unit Conversion</t>
  </si>
  <si>
    <t>Converted Round</t>
  </si>
  <si>
    <t>Note: If dioxins are detected but no furans, then the furans TEQs can be assumed to be zero.  Similarly, if furans are  detected but no dioxins, then dioxin TEQs can be assumed to be zero.</t>
  </si>
  <si>
    <t>7. If reported with an "EDL" (Estimated Detection Limit) qualifier enter 1/2 of the reported value (data is treated the same as "U" qualified data).</t>
  </si>
  <si>
    <t>8. If the report only includes total concentrations for dioxin or furan congeners with the same degree of chlorination. These data cannot be used to estimate a 2,3,7,8-TCDD equivalent concentration. Please contact the Bureau of Waste Cleanup for guidance on handling such data.</t>
  </si>
  <si>
    <t>6. If estimated and reported with an "EMPC" (Estimated Maximum Possible Concentration) qualifier enter the estimated value;</t>
  </si>
  <si>
    <t>5. If detected at a  concentration equal to or higher than the MDL but lower than the PQL and it is not estimated (the concentration reported is the PQL followed by the “M” qualifier) enter 1/2 of the reported value;</t>
  </si>
  <si>
    <t>4. If detected at a concentration equal to or higher than the MDL but lower than the Practical Quantitation Limit (PQL) and the concentration is estimated (has the “I” qualifier) enter the estimated value;</t>
  </si>
  <si>
    <t>3. If detected at a concentration lower than the MDL and the concentration is estimated (has the “T” qualifier) enter the estimated value;</t>
  </si>
  <si>
    <t>2. If not detected at the MDL (the concentration reported is the MDL followed by the “U” qualifier) enter 1/2 of the reported value;</t>
  </si>
  <si>
    <t>¬</t>
  </si>
  <si>
    <t>Click to change between mg/kg and ng/kg.</t>
  </si>
  <si>
    <t>Totals</t>
  </si>
  <si>
    <t>Site Specific Background</t>
  </si>
  <si>
    <t>SCTL Type</t>
  </si>
  <si>
    <t>Value</t>
  </si>
  <si>
    <t>Units</t>
  </si>
  <si>
    <t xml:space="preserve">Instructions can be found below the table </t>
  </si>
  <si>
    <t>Dioxin TEQ Calculator Instructions</t>
  </si>
  <si>
    <t>Comparisons to SCTLs</t>
  </si>
  <si>
    <t>Polychlorinated dibenzodioxins/TEFs</t>
  </si>
  <si>
    <t>Polychlorinated dibenzofurans/TEFs</t>
  </si>
  <si>
    <t>Polychlorinated dibenzodioxin Equivalents/TEFs</t>
  </si>
  <si>
    <t>Polychlorinated dibenzofurans Equivalents/TEFs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</si>
</sst>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
    <numFmt numFmtId="165" formatCode="0.000000"/>
    <numFmt numFmtId="166" formatCode="0.000000000"/>
  </numFmts>
  <fonts count="8" x14ac:knownFonts="1">
    <font>
      <sz val="10"/>
      <name val="Arial"/>
    </font>
    <font>
      <sz val="16"/>
      <name val="Arial"/>
      <family val="2"/>
    </font>
    <font>
      <sz val="11"/>
      <name val="Arial"/>
      <family val="2"/>
    </font>
    <font>
      <b/>
      <sz val="11"/>
      <name val="Arial"/>
      <family val="2"/>
    </font>
    <font>
      <u/>
      <sz val="11"/>
      <name val="Arial"/>
      <family val="2"/>
    </font>
    <font>
      <i/>
      <sz val="11"/>
      <name val="Arial"/>
      <family val="2"/>
    </font>
    <font>
      <b/>
      <sz val="14"/>
      <name val="Symbol"/>
      <family val="1"/>
      <charset val="2"/>
    </font>
    <font>
      <sz val="8"/>
      <color rgb="FF000000"/>
      <name val="Segoe UI"/>
      <family val="2"/>
    </font>
  </fonts>
  <fills count="7">
    <fill>
      <patternFill patternType="none"/>
    </fill>
    <fill>
      <patternFill patternType="gray125"/>
    </fill>
    <fill>
      <patternFill patternType="solid">
        <fgColor rgb="FFEBFFED"/>
        <bgColor indexed="64"/>
      </patternFill>
    </fill>
    <fill>
      <patternFill patternType="solid">
        <fgColor rgb="FFFCFFE1"/>
        <bgColor indexed="64"/>
      </patternFill>
    </fill>
    <fill>
      <patternFill patternType="solid">
        <fgColor rgb="FFDAFBD5"/>
        <bgColor indexed="64"/>
      </patternFill>
    </fill>
    <fill>
      <patternFill patternType="solid">
        <fgColor rgb="FFD4E2F4"/>
        <bgColor indexed="64"/>
      </patternFill>
    </fill>
    <fill>
      <patternFill patternType="solid">
        <fgColor rgb="FFD5FFDA"/>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46">
    <xf numFmtId="0" fontId="0" fillId="0" borderId="0" xfId="0"/>
    <xf numFmtId="0" fontId="2" fillId="0" borderId="0" xfId="0" applyFont="1" applyFill="1" applyBorder="1" applyAlignment="1">
      <alignment horizontal="center"/>
    </xf>
    <xf numFmtId="0" fontId="3"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Border="1"/>
    <xf numFmtId="0" fontId="2" fillId="0" borderId="0" xfId="0" applyFont="1"/>
    <xf numFmtId="0" fontId="2" fillId="0" borderId="0" xfId="0" applyFont="1" applyFill="1" applyBorder="1" applyAlignment="1">
      <alignment vertical="center" wrapText="1"/>
    </xf>
    <xf numFmtId="0" fontId="2" fillId="0" borderId="0" xfId="0" applyFont="1" applyFill="1" applyBorder="1"/>
    <xf numFmtId="0" fontId="2" fillId="0" borderId="0" xfId="0" applyFont="1" applyProtection="1">
      <protection locked="0"/>
    </xf>
    <xf numFmtId="0" fontId="2" fillId="0" borderId="0" xfId="0" applyFont="1" applyBorder="1" applyAlignment="1">
      <alignment horizontal="left"/>
    </xf>
    <xf numFmtId="164" fontId="2" fillId="0" borderId="0" xfId="0" applyNumberFormat="1" applyFont="1"/>
    <xf numFmtId="166" fontId="2" fillId="0" borderId="0" xfId="0" applyNumberFormat="1" applyFont="1"/>
    <xf numFmtId="0" fontId="2" fillId="0" borderId="0" xfId="0" applyFont="1" applyProtection="1"/>
    <xf numFmtId="0" fontId="2" fillId="0" borderId="1" xfId="0" applyFont="1" applyBorder="1" applyAlignment="1" applyProtection="1">
      <alignment wrapText="1"/>
    </xf>
    <xf numFmtId="0" fontId="2" fillId="0" borderId="1" xfId="0" applyFont="1" applyBorder="1" applyProtection="1"/>
    <xf numFmtId="0" fontId="2" fillId="0" borderId="0" xfId="0" applyFont="1" applyAlignment="1" applyProtection="1">
      <alignment vertical="top"/>
      <protection locked="0"/>
    </xf>
    <xf numFmtId="0" fontId="6" fillId="0" borderId="2" xfId="0" applyFont="1" applyBorder="1"/>
    <xf numFmtId="0" fontId="6" fillId="0" borderId="3" xfId="0" applyFont="1" applyBorder="1"/>
    <xf numFmtId="0" fontId="2" fillId="0" borderId="1" xfId="0" applyNumberFormat="1" applyFont="1" applyBorder="1" applyAlignment="1" applyProtection="1">
      <alignment horizontal="left"/>
    </xf>
    <xf numFmtId="0" fontId="2" fillId="0" borderId="1" xfId="0" applyNumberFormat="1" applyFont="1" applyBorder="1" applyAlignment="1" applyProtection="1">
      <alignment horizontal="left"/>
      <protection locked="0"/>
    </xf>
    <xf numFmtId="0" fontId="2" fillId="0" borderId="4" xfId="0" applyFont="1" applyBorder="1" applyAlignment="1" applyProtection="1">
      <alignment horizontal="left"/>
    </xf>
    <xf numFmtId="0" fontId="2" fillId="0" borderId="4" xfId="0" applyFont="1" applyBorder="1" applyAlignment="1" applyProtection="1">
      <alignment horizontal="left"/>
      <protection locked="0"/>
    </xf>
    <xf numFmtId="0" fontId="2" fillId="0" borderId="5" xfId="0" applyNumberFormat="1"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2" borderId="3"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pplyProtection="1">
      <alignment horizontal="center" vertical="center" wrapText="1"/>
    </xf>
    <xf numFmtId="0" fontId="3" fillId="2" borderId="1" xfId="0" applyFont="1" applyFill="1" applyBorder="1" applyProtection="1"/>
    <xf numFmtId="0" fontId="3" fillId="2" borderId="1" xfId="0" applyFont="1" applyFill="1" applyBorder="1" applyAlignment="1" applyProtection="1">
      <alignment horizontal="center" wrapText="1"/>
    </xf>
    <xf numFmtId="14" fontId="2" fillId="3" borderId="11" xfId="0" applyNumberFormat="1"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165" fontId="2" fillId="4" borderId="15" xfId="0" applyNumberFormat="1" applyFont="1" applyFill="1" applyBorder="1" applyAlignment="1" applyProtection="1">
      <alignment horizontal="center"/>
    </xf>
    <xf numFmtId="0" fontId="3" fillId="0" borderId="0" xfId="0" applyFont="1" applyBorder="1" applyAlignment="1" applyProtection="1">
      <alignment horizontal="center" vertical="center" wrapText="1"/>
    </xf>
    <xf numFmtId="0" fontId="2" fillId="0" borderId="0" xfId="0" applyFont="1" applyBorder="1" applyAlignment="1">
      <alignment vertical="top" wrapText="1"/>
    </xf>
    <xf numFmtId="0" fontId="2" fillId="0" borderId="0" xfId="0" applyFont="1" applyBorder="1" applyAlignment="1">
      <alignment horizontal="left" wrapText="1"/>
    </xf>
    <xf numFmtId="0" fontId="2" fillId="0" borderId="0" xfId="0" applyFont="1" applyAlignment="1" applyProtection="1">
      <alignment horizontal="left" vertical="top" wrapText="1"/>
    </xf>
    <xf numFmtId="0" fontId="5" fillId="0" borderId="0" xfId="0" applyFont="1" applyFill="1" applyBorder="1" applyAlignment="1" applyProtection="1">
      <alignment horizontal="left" vertical="top" wrapText="1"/>
    </xf>
    <xf numFmtId="0" fontId="4" fillId="0" borderId="0" xfId="0" applyFont="1" applyAlignment="1" applyProtection="1">
      <alignment horizontal="left" vertical="top" wrapText="1"/>
    </xf>
    <xf numFmtId="0" fontId="2" fillId="0" borderId="0" xfId="0" applyFont="1" applyFill="1" applyAlignment="1" applyProtection="1">
      <alignment horizontal="left" vertical="top" wrapText="1"/>
    </xf>
    <xf numFmtId="165" fontId="3" fillId="4" borderId="1" xfId="0" applyNumberFormat="1" applyFont="1" applyFill="1" applyBorder="1" applyAlignment="1" applyProtection="1">
      <alignment horizontal="center"/>
    </xf>
    <xf numFmtId="165" fontId="3" fillId="4" borderId="12" xfId="0" applyNumberFormat="1" applyFont="1" applyFill="1" applyBorder="1" applyAlignment="1" applyProtection="1">
      <alignment horizontal="center"/>
    </xf>
    <xf numFmtId="165" fontId="3" fillId="4" borderId="13" xfId="0" applyNumberFormat="1" applyFont="1" applyFill="1" applyBorder="1" applyAlignment="1" applyProtection="1">
      <alignment horizontal="center"/>
    </xf>
    <xf numFmtId="165" fontId="3" fillId="4" borderId="16" xfId="0" applyNumberFormat="1" applyFont="1" applyFill="1" applyBorder="1" applyAlignment="1" applyProtection="1">
      <alignment horizontal="center"/>
    </xf>
    <xf numFmtId="165" fontId="3" fillId="4" borderId="11" xfId="0" applyNumberFormat="1" applyFont="1" applyFill="1" applyBorder="1" applyAlignment="1" applyProtection="1">
      <alignment horizontal="center"/>
    </xf>
    <xf numFmtId="165" fontId="3" fillId="4" borderId="4" xfId="0" applyNumberFormat="1" applyFont="1" applyFill="1" applyBorder="1" applyAlignment="1" applyProtection="1">
      <alignment horizontal="center"/>
    </xf>
    <xf numFmtId="165" fontId="3" fillId="4" borderId="14" xfId="0" applyNumberFormat="1" applyFont="1" applyFill="1" applyBorder="1" applyAlignment="1" applyProtection="1">
      <alignment horizontal="center"/>
    </xf>
    <xf numFmtId="165" fontId="3" fillId="4" borderId="5" xfId="0" applyNumberFormat="1" applyFont="1" applyFill="1" applyBorder="1" applyAlignment="1" applyProtection="1">
      <alignment horizontal="center"/>
    </xf>
    <xf numFmtId="165" fontId="3" fillId="4" borderId="6" xfId="0" applyNumberFormat="1" applyFont="1" applyFill="1" applyBorder="1" applyAlignment="1" applyProtection="1">
      <alignment horizontal="center"/>
    </xf>
    <xf numFmtId="0" fontId="3" fillId="2" borderId="17"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2" fillId="3" borderId="19" xfId="0" applyNumberFormat="1" applyFont="1" applyFill="1" applyBorder="1" applyAlignment="1" applyProtection="1">
      <alignment horizontal="center"/>
      <protection locked="0"/>
    </xf>
    <xf numFmtId="0" fontId="2" fillId="3" borderId="20" xfId="0" applyNumberFormat="1" applyFont="1" applyFill="1" applyBorder="1" applyAlignment="1" applyProtection="1">
      <alignment horizontal="center"/>
      <protection locked="0"/>
    </xf>
    <xf numFmtId="0" fontId="2" fillId="3" borderId="21" xfId="0" applyNumberFormat="1" applyFont="1" applyFill="1" applyBorder="1" applyAlignment="1" applyProtection="1">
      <alignment horizontal="center"/>
      <protection locked="0"/>
    </xf>
    <xf numFmtId="0" fontId="2" fillId="3" borderId="22" xfId="0" applyNumberFormat="1" applyFont="1" applyFill="1" applyBorder="1" applyAlignment="1" applyProtection="1">
      <alignment horizontal="center"/>
      <protection locked="0"/>
    </xf>
    <xf numFmtId="0" fontId="2" fillId="3" borderId="23" xfId="0" applyNumberFormat="1" applyFont="1" applyFill="1" applyBorder="1" applyAlignment="1" applyProtection="1">
      <alignment horizontal="center"/>
      <protection locked="0"/>
    </xf>
    <xf numFmtId="0" fontId="2" fillId="3" borderId="24" xfId="0" applyNumberFormat="1" applyFont="1" applyFill="1" applyBorder="1" applyAlignment="1" applyProtection="1">
      <alignment horizontal="center"/>
      <protection locked="0"/>
    </xf>
    <xf numFmtId="0" fontId="2" fillId="3" borderId="25" xfId="0" applyNumberFormat="1" applyFont="1" applyFill="1" applyBorder="1" applyAlignment="1" applyProtection="1">
      <alignment horizontal="center"/>
      <protection locked="0"/>
    </xf>
    <xf numFmtId="0" fontId="2" fillId="3" borderId="26" xfId="0" applyNumberFormat="1" applyFont="1" applyFill="1" applyBorder="1" applyAlignment="1" applyProtection="1">
      <alignment horizontal="center"/>
      <protection locked="0"/>
    </xf>
    <xf numFmtId="0" fontId="2" fillId="3" borderId="27" xfId="0" applyNumberFormat="1" applyFont="1" applyFill="1" applyBorder="1" applyAlignment="1" applyProtection="1">
      <alignment horizontal="center"/>
      <protection locked="0"/>
    </xf>
    <xf numFmtId="0" fontId="2" fillId="0" borderId="13" xfId="0" applyFont="1" applyBorder="1" applyAlignment="1">
      <alignment horizontal="left" wrapText="1"/>
    </xf>
    <xf numFmtId="0" fontId="2" fillId="0" borderId="16" xfId="0" applyFont="1" applyBorder="1" applyAlignment="1">
      <alignment horizontal="left" wrapText="1"/>
    </xf>
    <xf numFmtId="0" fontId="2" fillId="0" borderId="0" xfId="0" applyFont="1" applyBorder="1" applyAlignment="1" applyProtection="1">
      <protection locked="0"/>
    </xf>
    <xf numFmtId="0" fontId="2" fillId="0" borderId="28" xfId="0" applyFont="1" applyBorder="1" applyAlignment="1">
      <alignment horizontal="left" wrapText="1"/>
    </xf>
    <xf numFmtId="0" fontId="2" fillId="0" borderId="29" xfId="0" applyFont="1" applyBorder="1" applyAlignment="1">
      <alignment horizontal="left" wrapText="1"/>
    </xf>
    <xf numFmtId="0" fontId="2" fillId="0" borderId="30" xfId="0" applyFont="1" applyBorder="1" applyAlignment="1">
      <alignment horizontal="left" wrapText="1"/>
    </xf>
    <xf numFmtId="0" fontId="2" fillId="2" borderId="31"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0" borderId="32"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33" xfId="0" applyFont="1" applyBorder="1" applyAlignment="1" applyProtection="1">
      <alignment horizontal="left" vertical="top" wrapText="1"/>
    </xf>
    <xf numFmtId="0" fontId="5" fillId="0" borderId="34" xfId="0" applyFont="1" applyFill="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5" fillId="0" borderId="36"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33" xfId="0" applyFont="1" applyFill="1" applyBorder="1" applyAlignment="1" applyProtection="1">
      <alignment horizontal="left" vertical="top" wrapText="1"/>
    </xf>
    <xf numFmtId="0" fontId="3" fillId="5" borderId="3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2" borderId="8" xfId="0" applyFont="1" applyFill="1" applyBorder="1" applyAlignment="1" applyProtection="1">
      <alignment horizontal="center"/>
    </xf>
    <xf numFmtId="0" fontId="3" fillId="2" borderId="37" xfId="0" applyFont="1" applyFill="1" applyBorder="1" applyAlignment="1" applyProtection="1">
      <alignment horizontal="center"/>
    </xf>
    <xf numFmtId="0" fontId="4" fillId="0" borderId="39" xfId="0" applyFont="1" applyBorder="1" applyAlignment="1" applyProtection="1">
      <alignment horizontal="left" vertical="top" wrapText="1"/>
    </xf>
    <xf numFmtId="0" fontId="4" fillId="0" borderId="40" xfId="0" applyFont="1" applyBorder="1" applyAlignment="1" applyProtection="1">
      <alignment horizontal="left" vertical="top" wrapText="1"/>
    </xf>
    <xf numFmtId="0" fontId="4" fillId="0" borderId="41" xfId="0" applyFont="1" applyBorder="1" applyAlignment="1" applyProtection="1">
      <alignment horizontal="left" vertical="top" wrapText="1"/>
    </xf>
    <xf numFmtId="0" fontId="2" fillId="0" borderId="1" xfId="0" applyFont="1" applyBorder="1" applyAlignment="1" applyProtection="1">
      <alignment horizontal="left"/>
    </xf>
    <xf numFmtId="0" fontId="3" fillId="2" borderId="24" xfId="0" applyFont="1" applyFill="1" applyBorder="1" applyAlignment="1" applyProtection="1">
      <alignment horizontal="left"/>
    </xf>
    <xf numFmtId="0" fontId="3" fillId="2" borderId="25" xfId="0" applyFont="1" applyFill="1" applyBorder="1" applyAlignment="1" applyProtection="1">
      <alignment horizontal="left"/>
    </xf>
    <xf numFmtId="0" fontId="3" fillId="2" borderId="42" xfId="0" applyFont="1" applyFill="1" applyBorder="1" applyAlignment="1" applyProtection="1">
      <alignment horizontal="left"/>
    </xf>
    <xf numFmtId="0" fontId="3" fillId="5" borderId="4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2" borderId="37"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0" fontId="2" fillId="0" borderId="28" xfId="0" applyFont="1" applyBorder="1" applyAlignment="1" applyProtection="1">
      <alignment horizontal="center"/>
      <protection locked="0"/>
    </xf>
    <xf numFmtId="0" fontId="2" fillId="0" borderId="44" xfId="0" applyFont="1" applyBorder="1" applyAlignment="1" applyProtection="1">
      <alignment horizontal="center"/>
      <protection locked="0"/>
    </xf>
    <xf numFmtId="0" fontId="3" fillId="2" borderId="24" xfId="0" applyFont="1" applyFill="1" applyBorder="1" applyAlignment="1" applyProtection="1">
      <alignment horizontal="center"/>
    </xf>
    <xf numFmtId="0" fontId="3" fillId="2" borderId="42" xfId="0" applyFont="1" applyFill="1" applyBorder="1" applyAlignment="1" applyProtection="1">
      <alignment horizontal="center"/>
    </xf>
    <xf numFmtId="0" fontId="3" fillId="2" borderId="10" xfId="0" applyFont="1" applyFill="1" applyBorder="1" applyAlignment="1" applyProtection="1">
      <alignment horizontal="left" vertical="center" wrapText="1"/>
    </xf>
    <xf numFmtId="0" fontId="3" fillId="2" borderId="8" xfId="0" applyNumberFormat="1" applyFont="1" applyFill="1" applyBorder="1" applyAlignment="1" applyProtection="1">
      <alignment horizontal="center"/>
    </xf>
    <xf numFmtId="0" fontId="3" fillId="2" borderId="37" xfId="0" applyNumberFormat="1" applyFont="1" applyFill="1" applyBorder="1" applyAlignment="1" applyProtection="1">
      <alignment horizontal="center"/>
    </xf>
    <xf numFmtId="0" fontId="2" fillId="0" borderId="38" xfId="0" applyFont="1" applyBorder="1" applyAlignment="1">
      <alignment horizontal="center" wrapText="1"/>
    </xf>
    <xf numFmtId="0" fontId="2" fillId="0" borderId="9" xfId="0" applyFont="1" applyBorder="1" applyAlignment="1">
      <alignment horizontal="center" wrapText="1"/>
    </xf>
    <xf numFmtId="0" fontId="2" fillId="0" borderId="0" xfId="0" applyFont="1" applyFill="1" applyBorder="1" applyAlignment="1">
      <alignment horizontal="left" vertical="center" wrapText="1"/>
    </xf>
    <xf numFmtId="0" fontId="2" fillId="0" borderId="11" xfId="0" applyFont="1" applyBorder="1" applyAlignment="1">
      <alignment horizontal="left" wrapText="1"/>
    </xf>
    <xf numFmtId="0" fontId="2" fillId="0" borderId="1" xfId="0" applyFont="1" applyBorder="1" applyAlignment="1">
      <alignment horizontal="left" wrapText="1"/>
    </xf>
    <xf numFmtId="0" fontId="2" fillId="0" borderId="14" xfId="0" applyFont="1" applyBorder="1" applyAlignment="1">
      <alignment horizontal="left" wrapText="1"/>
    </xf>
    <xf numFmtId="0" fontId="2" fillId="0" borderId="5" xfId="0" applyFont="1" applyBorder="1" applyAlignment="1">
      <alignment horizontal="left" wrapText="1"/>
    </xf>
    <xf numFmtId="0" fontId="2" fillId="0" borderId="29" xfId="0" applyFont="1" applyBorder="1" applyAlignment="1" applyProtection="1">
      <alignment horizontal="center"/>
      <protection locked="0"/>
    </xf>
    <xf numFmtId="0" fontId="2" fillId="0" borderId="45"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46" xfId="0" applyFont="1" applyBorder="1" applyAlignment="1" applyProtection="1">
      <alignment horizontal="center"/>
      <protection locked="0"/>
    </xf>
    <xf numFmtId="0" fontId="2" fillId="2" borderId="17"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1" fillId="6" borderId="48" xfId="0" applyFont="1" applyFill="1" applyBorder="1" applyAlignment="1">
      <alignment horizontal="center"/>
    </xf>
    <xf numFmtId="0" fontId="1" fillId="6" borderId="49" xfId="0" applyFont="1" applyFill="1" applyBorder="1" applyAlignment="1">
      <alignment horizontal="center"/>
    </xf>
    <xf numFmtId="0" fontId="1" fillId="6" borderId="50" xfId="0" applyFont="1" applyFill="1" applyBorder="1" applyAlignment="1">
      <alignment horizontal="center"/>
    </xf>
    <xf numFmtId="0" fontId="2" fillId="0" borderId="12" xfId="0" applyFont="1" applyBorder="1" applyAlignment="1">
      <alignment horizontal="left" wrapText="1"/>
    </xf>
    <xf numFmtId="0" fontId="2" fillId="0" borderId="13" xfId="0" applyFont="1" applyBorder="1" applyAlignment="1">
      <alignment horizontal="left" wrapText="1"/>
    </xf>
    <xf numFmtId="0" fontId="0" fillId="0" borderId="0" xfId="0" applyAlignment="1">
      <alignment horizontal="center"/>
    </xf>
    <xf numFmtId="0" fontId="0" fillId="0" borderId="0" xfId="0" applyBorder="1" applyAlignment="1">
      <alignment horizontal="center"/>
    </xf>
  </cellXfs>
  <cellStyles count="1">
    <cellStyle name="Normal" xfId="0" builtinId="0"/>
  </cellStyles>
  <dxfs count="12">
    <dxf>
      <numFmt numFmtId="1" formatCode="0"/>
    </dxf>
    <dxf>
      <numFmt numFmtId="165" formatCode="0.000000"/>
    </dxf>
    <dxf>
      <numFmt numFmtId="1" formatCode="0"/>
    </dxf>
    <dxf>
      <numFmt numFmtId="165" formatCode="0.000000"/>
    </dxf>
    <dxf>
      <numFmt numFmtId="1" formatCode="0"/>
    </dxf>
    <dxf>
      <numFmt numFmtId="165" formatCode="0.000000"/>
    </dxf>
    <dxf>
      <numFmt numFmtId="165" formatCode="0.000000"/>
    </dxf>
    <dxf>
      <numFmt numFmtId="1" formatCode="0"/>
    </dxf>
    <dxf>
      <fill>
        <patternFill>
          <bgColor rgb="FFE4E4E4"/>
        </patternFill>
      </fill>
    </dxf>
    <dxf>
      <fill>
        <patternFill>
          <bgColor rgb="FFA5E9A5"/>
        </patternFill>
      </fill>
    </dxf>
    <dxf>
      <fill>
        <patternFill>
          <bgColor rgb="FFF48A78"/>
        </patternFill>
      </fill>
    </dxf>
    <dxf>
      <fill>
        <patternFill>
          <bgColor rgb="FFF2F2F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firstButton="1" fmlaLink="$R$13"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P$13"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180975</xdr:rowOff>
        </xdr:from>
        <xdr:to>
          <xdr:col>2</xdr:col>
          <xdr:colOff>1200150</xdr:colOff>
          <xdr:row>8</xdr:row>
          <xdr:rowOff>85725</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152400</xdr:rowOff>
        </xdr:from>
        <xdr:to>
          <xdr:col>2</xdr:col>
          <xdr:colOff>1219200</xdr:colOff>
          <xdr:row>10</xdr:row>
          <xdr:rowOff>57150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2</xdr:col>
          <xdr:colOff>981075</xdr:colOff>
          <xdr:row>10</xdr:row>
          <xdr:rowOff>28575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ng/kg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171450</xdr:rowOff>
        </xdr:from>
        <xdr:to>
          <xdr:col>1</xdr:col>
          <xdr:colOff>1076325</xdr:colOff>
          <xdr:row>10</xdr:row>
          <xdr:rowOff>28575</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mg/kg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200025</xdr:rowOff>
        </xdr:from>
        <xdr:to>
          <xdr:col>2</xdr:col>
          <xdr:colOff>1057275</xdr:colOff>
          <xdr:row>7</xdr:row>
          <xdr:rowOff>200025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2005 WHO TEFs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xdr:row>
          <xdr:rowOff>0</xdr:rowOff>
        </xdr:from>
        <xdr:to>
          <xdr:col>1</xdr:col>
          <xdr:colOff>1171575</xdr:colOff>
          <xdr:row>8</xdr:row>
          <xdr:rowOff>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1998 WHO TEFs</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96"/>
  <sheetViews>
    <sheetView showGridLines="0" tabSelected="1" zoomScale="80" zoomScaleNormal="80" zoomScalePageLayoutView="80" workbookViewId="0">
      <selection activeCell="B10" sqref="B10"/>
    </sheetView>
  </sheetViews>
  <sheetFormatPr defaultColWidth="0" defaultRowHeight="14.25" x14ac:dyDescent="0.2"/>
  <cols>
    <col min="1" max="1" width="31.85546875" style="5" customWidth="1"/>
    <col min="2" max="2" width="19.5703125" style="5" customWidth="1"/>
    <col min="3" max="3" width="27.140625" style="5" customWidth="1"/>
    <col min="4" max="4" width="26.85546875" style="5" customWidth="1"/>
    <col min="5" max="5" width="27.140625" style="5" customWidth="1"/>
    <col min="6" max="6" width="27.42578125" style="5" customWidth="1"/>
    <col min="7" max="7" width="27.140625" style="5" customWidth="1"/>
    <col min="8" max="8" width="27.42578125" style="5" customWidth="1"/>
    <col min="9" max="9" width="27.85546875" style="5" customWidth="1"/>
    <col min="10" max="10" width="28.28515625" style="5" customWidth="1"/>
    <col min="11" max="11" width="9.140625" style="5" customWidth="1"/>
    <col min="12" max="12" width="26.28515625" style="5" customWidth="1"/>
    <col min="13" max="13" width="20.85546875" style="5" hidden="1" customWidth="1"/>
    <col min="14" max="14" width="12.28515625" style="5" hidden="1" customWidth="1"/>
    <col min="15" max="15" width="9.140625" style="5" hidden="1" customWidth="1"/>
    <col min="16" max="17" width="9.42578125" style="5" hidden="1" customWidth="1"/>
    <col min="18" max="18" width="11.28515625" style="5" hidden="1" customWidth="1"/>
    <col min="19" max="19" width="11.7109375" style="5" hidden="1" customWidth="1"/>
    <col min="20" max="20" width="9.42578125" style="5" hidden="1" customWidth="1"/>
    <col min="21" max="21" width="12.85546875" style="5" hidden="1" customWidth="1"/>
    <col min="22" max="22" width="10.5703125" style="5" hidden="1" customWidth="1"/>
    <col min="23" max="23" width="12.85546875" style="5" hidden="1" customWidth="1"/>
    <col min="24" max="16384" width="9.140625" style="5" hidden="1"/>
  </cols>
  <sheetData>
    <row r="1" spans="1:21" ht="19.5" customHeight="1" thickBot="1" x14ac:dyDescent="0.35">
      <c r="A1" s="139" t="s">
        <v>62</v>
      </c>
      <c r="B1" s="140"/>
      <c r="C1" s="140"/>
      <c r="D1" s="140"/>
      <c r="E1" s="140"/>
      <c r="F1" s="140"/>
      <c r="G1" s="140"/>
      <c r="H1" s="141"/>
      <c r="I1"/>
      <c r="J1"/>
    </row>
    <row r="2" spans="1:21" ht="19.5" customHeight="1" x14ac:dyDescent="0.2">
      <c r="A2" s="145" t="s">
        <v>27</v>
      </c>
      <c r="B2" s="145"/>
      <c r="C2" s="145"/>
      <c r="D2" s="145"/>
      <c r="E2" s="145"/>
      <c r="F2" s="145"/>
      <c r="G2" s="145"/>
      <c r="H2" s="145"/>
      <c r="I2" s="15"/>
      <c r="J2" s="15"/>
    </row>
    <row r="3" spans="1:21" ht="19.5" customHeight="1" thickBot="1" x14ac:dyDescent="0.25">
      <c r="A3" s="144" t="s">
        <v>94</v>
      </c>
      <c r="B3" s="144"/>
      <c r="C3" s="144"/>
      <c r="D3" s="144"/>
      <c r="E3" s="144"/>
      <c r="F3" s="144"/>
      <c r="G3" s="144"/>
      <c r="H3" s="144"/>
      <c r="I3" s="15"/>
      <c r="J3" s="15"/>
    </row>
    <row r="4" spans="1:21" ht="16.5" customHeight="1" x14ac:dyDescent="0.2">
      <c r="A4" s="81" t="s">
        <v>19</v>
      </c>
      <c r="B4" s="118"/>
      <c r="C4" s="119"/>
      <c r="D4" s="80"/>
      <c r="E4" s="142" t="s">
        <v>91</v>
      </c>
      <c r="F4" s="143"/>
      <c r="G4" s="78" t="s">
        <v>92</v>
      </c>
      <c r="H4" s="79" t="s">
        <v>93</v>
      </c>
    </row>
    <row r="5" spans="1:21" ht="15.75" customHeight="1" x14ac:dyDescent="0.2">
      <c r="A5" s="82" t="s">
        <v>20</v>
      </c>
      <c r="B5" s="132"/>
      <c r="C5" s="133"/>
      <c r="D5" s="80"/>
      <c r="E5" s="128" t="s">
        <v>65</v>
      </c>
      <c r="F5" s="129"/>
      <c r="G5" s="18">
        <f>IF(H5="mg/kg", 0.000007, 7)</f>
        <v>7</v>
      </c>
      <c r="H5" s="20" t="str">
        <f>IF(R13=2,"mg/kg",IF(R13=1,"ng/kg"))</f>
        <v>ng/kg</v>
      </c>
    </row>
    <row r="6" spans="1:21" ht="15.75" customHeight="1" thickBot="1" x14ac:dyDescent="0.25">
      <c r="A6" s="83" t="s">
        <v>21</v>
      </c>
      <c r="B6" s="134"/>
      <c r="C6" s="135"/>
      <c r="D6" s="80"/>
      <c r="E6" s="128" t="s">
        <v>66</v>
      </c>
      <c r="F6" s="129"/>
      <c r="G6" s="18">
        <f>IF(H6="mg/kg", 0.00003, 30)</f>
        <v>30</v>
      </c>
      <c r="H6" s="20" t="str">
        <f>IF(R13=2,"mg/kg",IF(R13=1,"ng/kg"))</f>
        <v>ng/kg</v>
      </c>
    </row>
    <row r="7" spans="1:21" ht="16.5" customHeight="1" x14ac:dyDescent="0.25">
      <c r="A7" s="44"/>
      <c r="B7" s="4"/>
      <c r="C7" s="4"/>
      <c r="D7" s="4"/>
      <c r="E7" s="128" t="s">
        <v>68</v>
      </c>
      <c r="F7" s="129"/>
      <c r="G7" s="19">
        <v>4.0000000000000003E-5</v>
      </c>
      <c r="H7" s="21" t="s">
        <v>63</v>
      </c>
      <c r="I7" s="16" t="s">
        <v>87</v>
      </c>
      <c r="J7" s="125" t="s">
        <v>88</v>
      </c>
      <c r="S7" s="5" t="s">
        <v>63</v>
      </c>
    </row>
    <row r="8" spans="1:21" ht="16.5" customHeight="1" thickBot="1" x14ac:dyDescent="0.3">
      <c r="A8" s="2" t="s">
        <v>58</v>
      </c>
      <c r="B8" s="2"/>
      <c r="C8" s="6"/>
      <c r="D8" s="4"/>
      <c r="E8" s="130" t="s">
        <v>70</v>
      </c>
      <c r="F8" s="131"/>
      <c r="G8" s="22">
        <v>1.5E-5</v>
      </c>
      <c r="H8" s="23" t="s">
        <v>63</v>
      </c>
      <c r="I8" s="17" t="s">
        <v>87</v>
      </c>
      <c r="J8" s="126"/>
      <c r="S8" s="5" t="s">
        <v>64</v>
      </c>
    </row>
    <row r="9" spans="1:21" ht="15.75" customHeight="1" x14ac:dyDescent="0.2">
      <c r="A9" s="4"/>
      <c r="B9" s="2"/>
      <c r="C9" s="2"/>
      <c r="D9" s="127" t="s">
        <v>61</v>
      </c>
      <c r="E9" s="127"/>
      <c r="F9" s="4"/>
      <c r="G9" s="4"/>
      <c r="H9" s="4"/>
    </row>
    <row r="10" spans="1:21" ht="15.75" customHeight="1" x14ac:dyDescent="0.2">
      <c r="A10" s="2" t="s">
        <v>69</v>
      </c>
      <c r="B10" s="2"/>
      <c r="C10" s="4"/>
      <c r="D10" s="4"/>
      <c r="E10" s="4"/>
      <c r="F10" s="4"/>
      <c r="G10" s="4"/>
      <c r="H10" s="4" t="s">
        <v>17</v>
      </c>
      <c r="I10" s="4"/>
      <c r="Q10" s="9" t="s">
        <v>28</v>
      </c>
    </row>
    <row r="11" spans="1:21" ht="15.75" customHeight="1" thickBot="1" x14ac:dyDescent="0.25">
      <c r="A11" s="4"/>
      <c r="B11" s="4"/>
      <c r="C11" s="4"/>
      <c r="D11" s="4"/>
      <c r="E11" s="43"/>
      <c r="F11" s="4"/>
      <c r="G11" s="4"/>
      <c r="H11" s="4"/>
    </row>
    <row r="12" spans="1:21" ht="15.75" customHeight="1" thickBot="1" x14ac:dyDescent="0.25">
      <c r="A12" s="136"/>
      <c r="B12" s="84" t="s">
        <v>76</v>
      </c>
      <c r="C12" s="34"/>
      <c r="D12" s="35"/>
      <c r="E12" s="35"/>
      <c r="F12" s="35"/>
      <c r="G12" s="35"/>
      <c r="H12" s="85"/>
      <c r="I12"/>
      <c r="J12"/>
    </row>
    <row r="13" spans="1:21" ht="15" thickBot="1" x14ac:dyDescent="0.25">
      <c r="A13" s="137"/>
      <c r="B13" s="24" t="s">
        <v>22</v>
      </c>
      <c r="C13" s="33"/>
      <c r="D13" s="36"/>
      <c r="E13" s="36"/>
      <c r="F13" s="36"/>
      <c r="G13" s="36"/>
      <c r="H13" s="86"/>
      <c r="I13"/>
      <c r="J13"/>
      <c r="K13" s="7"/>
      <c r="L13" s="7"/>
      <c r="P13" s="8">
        <v>1</v>
      </c>
      <c r="R13" s="8">
        <v>1</v>
      </c>
    </row>
    <row r="14" spans="1:21" ht="15.75" customHeight="1" thickBot="1" x14ac:dyDescent="0.25">
      <c r="A14" s="137"/>
      <c r="B14" s="24" t="s">
        <v>20</v>
      </c>
      <c r="C14" s="37"/>
      <c r="D14" s="38"/>
      <c r="E14" s="38"/>
      <c r="F14" s="38"/>
      <c r="G14" s="38"/>
      <c r="H14" s="87"/>
      <c r="I14"/>
      <c r="J14"/>
      <c r="K14" s="7"/>
      <c r="L14" s="7"/>
    </row>
    <row r="15" spans="1:21" ht="15" thickBot="1" x14ac:dyDescent="0.25">
      <c r="A15" s="138"/>
      <c r="B15" s="24" t="s">
        <v>23</v>
      </c>
      <c r="C15" s="39"/>
      <c r="D15" s="40"/>
      <c r="E15" s="40"/>
      <c r="F15" s="40"/>
      <c r="G15" s="40"/>
      <c r="H15" s="88"/>
      <c r="I15"/>
      <c r="J15"/>
      <c r="T15" s="1">
        <v>0.1</v>
      </c>
      <c r="U15" s="1">
        <v>0.1</v>
      </c>
    </row>
    <row r="16" spans="1:21" ht="15.75" thickBot="1" x14ac:dyDescent="0.25">
      <c r="A16" s="98" t="s">
        <v>97</v>
      </c>
      <c r="B16" s="100"/>
      <c r="C16" s="98" t="s">
        <v>25</v>
      </c>
      <c r="D16" s="99"/>
      <c r="E16" s="99"/>
      <c r="F16" s="99"/>
      <c r="G16" s="99"/>
      <c r="H16" s="100"/>
      <c r="I16"/>
      <c r="J16"/>
      <c r="T16" s="1">
        <v>0.05</v>
      </c>
      <c r="U16" s="1">
        <v>0.03</v>
      </c>
    </row>
    <row r="17" spans="1:23" ht="17.25" customHeight="1" thickBot="1" x14ac:dyDescent="0.25">
      <c r="A17" s="25" t="s">
        <v>24</v>
      </c>
      <c r="B17" s="26" t="str">
        <f>IF($P$13=2,$P$17,IF($P$13=1,$Q$17,"(Select TEFs to use)"))</f>
        <v>WHO 2005 TEFs</v>
      </c>
      <c r="C17" s="27" t="str">
        <f t="shared" ref="C17:H17" si="0">IF($R$13=2, "Concentration ("&amp;$R$17&amp;")",IF($R$13=1, "Concentration ("&amp;$S$17&amp;")","(Select units to use)"))</f>
        <v>Concentration (ng/kg)</v>
      </c>
      <c r="D17" s="27" t="str">
        <f t="shared" si="0"/>
        <v>Concentration (ng/kg)</v>
      </c>
      <c r="E17" s="27" t="str">
        <f t="shared" si="0"/>
        <v>Concentration (ng/kg)</v>
      </c>
      <c r="F17" s="27" t="str">
        <f t="shared" si="0"/>
        <v>Concentration (ng/kg)</v>
      </c>
      <c r="G17" s="27" t="str">
        <f t="shared" si="0"/>
        <v>Concentration (ng/kg)</v>
      </c>
      <c r="H17" s="28" t="str">
        <f t="shared" si="0"/>
        <v>Concentration (ng/kg)</v>
      </c>
      <c r="I17"/>
      <c r="J17"/>
      <c r="P17" s="3" t="s">
        <v>59</v>
      </c>
      <c r="Q17" s="3" t="s">
        <v>60</v>
      </c>
      <c r="R17" s="5" t="s">
        <v>63</v>
      </c>
      <c r="S17" s="5" t="s">
        <v>64</v>
      </c>
      <c r="T17" s="1">
        <v>0.5</v>
      </c>
      <c r="U17" s="1">
        <v>0.3</v>
      </c>
    </row>
    <row r="18" spans="1:23" ht="15" thickBot="1" x14ac:dyDescent="0.25">
      <c r="A18" s="25" t="s">
        <v>26</v>
      </c>
      <c r="B18" s="25">
        <f t="shared" ref="B18:B24" si="1">IF($P$13=2,$P18,IF($P$13=1,$Q18,0))</f>
        <v>1</v>
      </c>
      <c r="C18" s="69">
        <v>1</v>
      </c>
      <c r="D18" s="69"/>
      <c r="E18" s="69"/>
      <c r="F18" s="69"/>
      <c r="G18" s="69"/>
      <c r="H18" s="69"/>
      <c r="I18"/>
      <c r="J18"/>
      <c r="P18" s="1">
        <v>1</v>
      </c>
      <c r="Q18" s="1">
        <v>1</v>
      </c>
      <c r="R18" s="5">
        <v>9.9999999999999995E-7</v>
      </c>
      <c r="S18" s="5">
        <v>1</v>
      </c>
      <c r="T18" s="1">
        <v>0.1</v>
      </c>
      <c r="U18" s="1">
        <v>0.1</v>
      </c>
    </row>
    <row r="19" spans="1:23" ht="15" thickBot="1" x14ac:dyDescent="0.25">
      <c r="A19" s="25" t="s">
        <v>0</v>
      </c>
      <c r="B19" s="25">
        <f t="shared" si="1"/>
        <v>1</v>
      </c>
      <c r="C19" s="70">
        <v>1</v>
      </c>
      <c r="D19" s="70"/>
      <c r="E19" s="70"/>
      <c r="F19" s="70"/>
      <c r="G19" s="70"/>
      <c r="H19" s="70"/>
      <c r="I19"/>
      <c r="J19"/>
      <c r="P19" s="1">
        <v>1</v>
      </c>
      <c r="Q19" s="1">
        <v>1</v>
      </c>
      <c r="R19" s="5">
        <v>9.9999999999999995E-7</v>
      </c>
      <c r="S19" s="5">
        <v>1</v>
      </c>
      <c r="T19" s="1">
        <v>0.1</v>
      </c>
      <c r="U19" s="1">
        <v>0.1</v>
      </c>
    </row>
    <row r="20" spans="1:23" ht="15" thickBot="1" x14ac:dyDescent="0.25">
      <c r="A20" s="25" t="s">
        <v>1</v>
      </c>
      <c r="B20" s="25">
        <f t="shared" si="1"/>
        <v>0.1</v>
      </c>
      <c r="C20" s="70">
        <v>3</v>
      </c>
      <c r="D20" s="70"/>
      <c r="E20" s="70"/>
      <c r="F20" s="70"/>
      <c r="G20" s="70"/>
      <c r="H20" s="70"/>
      <c r="I20"/>
      <c r="J20"/>
      <c r="P20" s="1">
        <v>0.1</v>
      </c>
      <c r="Q20" s="1">
        <v>0.1</v>
      </c>
      <c r="R20" s="5">
        <v>9.9999999999999995E-7</v>
      </c>
      <c r="S20" s="5">
        <v>1</v>
      </c>
      <c r="T20" s="1">
        <v>0.1</v>
      </c>
      <c r="U20" s="1">
        <v>0.1</v>
      </c>
    </row>
    <row r="21" spans="1:23" ht="15" thickBot="1" x14ac:dyDescent="0.25">
      <c r="A21" s="25" t="s">
        <v>2</v>
      </c>
      <c r="B21" s="25">
        <f t="shared" si="1"/>
        <v>0.1</v>
      </c>
      <c r="C21" s="70">
        <v>3</v>
      </c>
      <c r="D21" s="70"/>
      <c r="E21" s="70"/>
      <c r="F21" s="70"/>
      <c r="G21" s="70"/>
      <c r="H21" s="70"/>
      <c r="I21"/>
      <c r="J21"/>
      <c r="P21" s="1">
        <v>0.1</v>
      </c>
      <c r="Q21" s="1">
        <v>0.1</v>
      </c>
      <c r="R21" s="5">
        <v>9.9999999999999995E-7</v>
      </c>
      <c r="S21" s="5">
        <v>1</v>
      </c>
      <c r="T21" s="1">
        <v>0.1</v>
      </c>
      <c r="U21" s="1">
        <v>0.1</v>
      </c>
    </row>
    <row r="22" spans="1:23" ht="15" thickBot="1" x14ac:dyDescent="0.25">
      <c r="A22" s="25" t="s">
        <v>3</v>
      </c>
      <c r="B22" s="25">
        <f t="shared" si="1"/>
        <v>0.1</v>
      </c>
      <c r="C22" s="70">
        <v>12</v>
      </c>
      <c r="D22" s="70"/>
      <c r="E22" s="70"/>
      <c r="F22" s="70"/>
      <c r="G22" s="70"/>
      <c r="H22" s="70"/>
      <c r="I22"/>
      <c r="J22"/>
      <c r="P22" s="1">
        <v>0.1</v>
      </c>
      <c r="Q22" s="1">
        <v>0.1</v>
      </c>
      <c r="R22" s="5">
        <v>9.9999999999999995E-7</v>
      </c>
      <c r="S22" s="5">
        <v>1</v>
      </c>
      <c r="T22" s="1">
        <v>0.01</v>
      </c>
      <c r="U22" s="1">
        <v>0.01</v>
      </c>
    </row>
    <row r="23" spans="1:23" ht="15" thickBot="1" x14ac:dyDescent="0.25">
      <c r="A23" s="25" t="s">
        <v>4</v>
      </c>
      <c r="B23" s="25">
        <f t="shared" si="1"/>
        <v>0.01</v>
      </c>
      <c r="C23" s="70">
        <v>18</v>
      </c>
      <c r="D23" s="70"/>
      <c r="E23" s="70"/>
      <c r="F23" s="70"/>
      <c r="G23" s="70"/>
      <c r="H23" s="70"/>
      <c r="I23"/>
      <c r="J23"/>
      <c r="P23" s="1">
        <v>0.01</v>
      </c>
      <c r="Q23" s="1">
        <v>0.01</v>
      </c>
      <c r="R23" s="5">
        <v>9.9999999999999995E-7</v>
      </c>
      <c r="S23" s="5">
        <v>1</v>
      </c>
      <c r="T23" s="1">
        <v>0.01</v>
      </c>
      <c r="U23" s="1">
        <v>0.01</v>
      </c>
    </row>
    <row r="24" spans="1:23" ht="15.75" customHeight="1" thickBot="1" x14ac:dyDescent="0.25">
      <c r="A24" s="25" t="s">
        <v>5</v>
      </c>
      <c r="B24" s="25">
        <f t="shared" si="1"/>
        <v>2.9999999999999997E-4</v>
      </c>
      <c r="C24" s="71">
        <v>4</v>
      </c>
      <c r="D24" s="71"/>
      <c r="E24" s="71"/>
      <c r="F24" s="71"/>
      <c r="G24" s="71"/>
      <c r="H24" s="71"/>
      <c r="I24"/>
      <c r="J24"/>
      <c r="P24" s="1">
        <v>1E-4</v>
      </c>
      <c r="Q24" s="1">
        <v>2.9999999999999997E-4</v>
      </c>
      <c r="R24" s="5">
        <v>9.9999999999999995E-7</v>
      </c>
      <c r="S24" s="5">
        <v>1</v>
      </c>
      <c r="T24" s="1">
        <v>1E-4</v>
      </c>
      <c r="U24" s="1">
        <v>2.9999999999999997E-4</v>
      </c>
    </row>
    <row r="25" spans="1:23" ht="15.75" customHeight="1" thickBot="1" x14ac:dyDescent="0.25">
      <c r="A25" s="98" t="s">
        <v>98</v>
      </c>
      <c r="B25" s="100"/>
      <c r="C25" s="98" t="s">
        <v>6</v>
      </c>
      <c r="D25" s="99"/>
      <c r="E25" s="99"/>
      <c r="F25" s="99"/>
      <c r="G25" s="99"/>
      <c r="H25" s="100"/>
      <c r="I25"/>
      <c r="J25"/>
      <c r="R25" s="5" t="s">
        <v>65</v>
      </c>
      <c r="S25" s="5">
        <f>IF(R13=2, 0.000007, IF(R13=1, 7))</f>
        <v>7</v>
      </c>
      <c r="T25" s="5" t="str">
        <f>IF(R13=2, "mg/kg", IF(R13=1, "ng/kg"))</f>
        <v>ng/kg</v>
      </c>
      <c r="U25" s="5">
        <f>IF(RDEU="mg/kg", RDEN+0.00000049, RDEN+0.49)</f>
        <v>7.49</v>
      </c>
    </row>
    <row r="26" spans="1:23" ht="17.25" customHeight="1" thickBot="1" x14ac:dyDescent="0.25">
      <c r="A26" s="26" t="s">
        <v>24</v>
      </c>
      <c r="B26" s="26" t="str">
        <f>B17</f>
        <v>WHO 2005 TEFs</v>
      </c>
      <c r="C26" s="29" t="str">
        <f t="shared" ref="C26:H26" si="2">IF($R$13=2, "Concentration ("&amp;$R$17&amp;")",IF($R$13=1, "Concentration ("&amp;$S$17&amp;")","(Select units to use)"))</f>
        <v>Concentration (ng/kg)</v>
      </c>
      <c r="D26" s="29" t="str">
        <f t="shared" si="2"/>
        <v>Concentration (ng/kg)</v>
      </c>
      <c r="E26" s="29" t="str">
        <f t="shared" si="2"/>
        <v>Concentration (ng/kg)</v>
      </c>
      <c r="F26" s="29" t="str">
        <f t="shared" si="2"/>
        <v>Concentration (ng/kg)</v>
      </c>
      <c r="G26" s="29" t="str">
        <f t="shared" si="2"/>
        <v>Concentration (ng/kg)</v>
      </c>
      <c r="H26" s="29" t="str">
        <f t="shared" si="2"/>
        <v>Concentration (ng/kg)</v>
      </c>
      <c r="I26"/>
      <c r="J26"/>
      <c r="R26" s="5" t="s">
        <v>66</v>
      </c>
      <c r="S26" s="5">
        <f>IF(R13=2, 0.00003, IF(R13=1, 30))</f>
        <v>30</v>
      </c>
      <c r="T26" s="5" t="str">
        <f>IF(R13=2, "mg/kg", IF(R13=1, "ng/kg"))</f>
        <v>ng/kg</v>
      </c>
      <c r="U26" s="5">
        <f>IF(IDEU="mg/kg", IDEN+0.00000049, IDEN+0.49)</f>
        <v>30.49</v>
      </c>
      <c r="V26" s="5" t="s">
        <v>77</v>
      </c>
      <c r="W26" s="5" t="s">
        <v>78</v>
      </c>
    </row>
    <row r="27" spans="1:23" ht="15.75" customHeight="1" thickBot="1" x14ac:dyDescent="0.25">
      <c r="A27" s="25" t="s">
        <v>7</v>
      </c>
      <c r="B27" s="25">
        <f t="shared" ref="B27:B36" si="3">IF($P$13=2,$T15,IF($P$13=1,$U15,0))</f>
        <v>0.1</v>
      </c>
      <c r="C27" s="72">
        <v>8</v>
      </c>
      <c r="D27" s="69"/>
      <c r="E27" s="73"/>
      <c r="F27" s="69"/>
      <c r="G27" s="73"/>
      <c r="H27" s="69"/>
      <c r="I27"/>
      <c r="J27"/>
      <c r="R27" s="5" t="s">
        <v>67</v>
      </c>
      <c r="S27" s="5">
        <f>IF(ISNUMBER(G7)=TRUE, G7, "")</f>
        <v>4.0000000000000003E-5</v>
      </c>
      <c r="T27" s="5" t="str">
        <f>H7</f>
        <v>mg/kg</v>
      </c>
      <c r="U27" s="5">
        <f>IF(ASU="mg/kg", ASN+0.00000049, ASN+0.49)</f>
        <v>4.049E-5</v>
      </c>
      <c r="V27" s="5">
        <f>IF(AND(R13=2, H7="ng/kg"), G7/1000000, IF(AND(R13=1, H7="mg/kg"), G7*1000000, G7))</f>
        <v>40</v>
      </c>
      <c r="W27" s="5">
        <f>IF(R13=2, V27+0.00000049, IF(R13=1, V27+0.49))</f>
        <v>40.49</v>
      </c>
    </row>
    <row r="28" spans="1:23" ht="15.75" customHeight="1" thickBot="1" x14ac:dyDescent="0.25">
      <c r="A28" s="25" t="s">
        <v>8</v>
      </c>
      <c r="B28" s="25">
        <f t="shared" si="3"/>
        <v>0.03</v>
      </c>
      <c r="C28" s="74">
        <v>17</v>
      </c>
      <c r="D28" s="70"/>
      <c r="E28" s="75"/>
      <c r="F28" s="70"/>
      <c r="G28" s="75"/>
      <c r="H28" s="70"/>
      <c r="I28"/>
      <c r="J28"/>
      <c r="R28" s="5" t="s">
        <v>90</v>
      </c>
      <c r="S28" s="5">
        <f>IF(ISNUMBER(G8)=TRUE, G8, "")</f>
        <v>1.5E-5</v>
      </c>
      <c r="T28" s="5" t="str">
        <f>H8</f>
        <v>mg/kg</v>
      </c>
      <c r="U28" s="5">
        <f>IF(BCU="mg/kg", BCN+0.00000049, BCN+0.49)</f>
        <v>1.5489999999999999E-5</v>
      </c>
      <c r="V28" s="5">
        <f>IF(AND(R13=2, H8="ng/kg"), G8/1000000, IF(AND(R13=1, H8="mg/kg"), G8*1000000, G8))</f>
        <v>15</v>
      </c>
      <c r="W28" s="5">
        <f>IF(R13=2, V28+0.00000049, IF(R13=1, V28+0.49))</f>
        <v>15.49</v>
      </c>
    </row>
    <row r="29" spans="1:23" ht="15.75" customHeight="1" thickBot="1" x14ac:dyDescent="0.25">
      <c r="A29" s="25" t="s">
        <v>9</v>
      </c>
      <c r="B29" s="25">
        <f t="shared" si="3"/>
        <v>0.3</v>
      </c>
      <c r="C29" s="74">
        <v>12</v>
      </c>
      <c r="D29" s="70"/>
      <c r="E29" s="75"/>
      <c r="F29" s="70"/>
      <c r="G29" s="75"/>
      <c r="H29" s="70"/>
      <c r="I29"/>
      <c r="J29"/>
    </row>
    <row r="30" spans="1:23" ht="15.75" customHeight="1" thickBot="1" x14ac:dyDescent="0.25">
      <c r="A30" s="25" t="s">
        <v>10</v>
      </c>
      <c r="B30" s="25">
        <f t="shared" si="3"/>
        <v>0.1</v>
      </c>
      <c r="C30" s="74">
        <v>15</v>
      </c>
      <c r="D30" s="70"/>
      <c r="E30" s="75"/>
      <c r="F30" s="70"/>
      <c r="G30" s="75"/>
      <c r="H30" s="70"/>
      <c r="I30"/>
      <c r="J30"/>
    </row>
    <row r="31" spans="1:23" ht="15.75" customHeight="1" thickBot="1" x14ac:dyDescent="0.25">
      <c r="A31" s="25" t="s">
        <v>11</v>
      </c>
      <c r="B31" s="25">
        <f t="shared" si="3"/>
        <v>0.1</v>
      </c>
      <c r="C31" s="74">
        <v>7</v>
      </c>
      <c r="D31" s="70"/>
      <c r="E31" s="75"/>
      <c r="F31" s="70"/>
      <c r="G31" s="75"/>
      <c r="H31" s="70"/>
      <c r="I31"/>
      <c r="J31"/>
    </row>
    <row r="32" spans="1:23" ht="15.75" customHeight="1" thickBot="1" x14ac:dyDescent="0.25">
      <c r="A32" s="25" t="s">
        <v>12</v>
      </c>
      <c r="B32" s="25">
        <f t="shared" si="3"/>
        <v>0.1</v>
      </c>
      <c r="C32" s="74">
        <v>8</v>
      </c>
      <c r="D32" s="70"/>
      <c r="E32" s="75"/>
      <c r="F32" s="70"/>
      <c r="G32" s="75"/>
      <c r="H32" s="70"/>
      <c r="I32"/>
      <c r="J32"/>
    </row>
    <row r="33" spans="1:22" ht="15.75" customHeight="1" thickBot="1" x14ac:dyDescent="0.25">
      <c r="A33" s="25" t="s">
        <v>13</v>
      </c>
      <c r="B33" s="25">
        <f t="shared" si="3"/>
        <v>0.1</v>
      </c>
      <c r="C33" s="74">
        <v>5</v>
      </c>
      <c r="D33" s="70"/>
      <c r="E33" s="75"/>
      <c r="F33" s="70"/>
      <c r="G33" s="75"/>
      <c r="H33" s="70"/>
      <c r="I33"/>
      <c r="J33"/>
    </row>
    <row r="34" spans="1:22" ht="15.75" customHeight="1" thickBot="1" x14ac:dyDescent="0.25">
      <c r="A34" s="25" t="s">
        <v>14</v>
      </c>
      <c r="B34" s="25">
        <f t="shared" si="3"/>
        <v>0.01</v>
      </c>
      <c r="C34" s="74">
        <v>19</v>
      </c>
      <c r="D34" s="70"/>
      <c r="E34" s="75"/>
      <c r="F34" s="70"/>
      <c r="G34" s="75"/>
      <c r="H34" s="70"/>
      <c r="I34"/>
      <c r="J34"/>
    </row>
    <row r="35" spans="1:22" ht="15.75" customHeight="1" thickBot="1" x14ac:dyDescent="0.25">
      <c r="A35" s="25" t="s">
        <v>15</v>
      </c>
      <c r="B35" s="25">
        <f t="shared" si="3"/>
        <v>0.01</v>
      </c>
      <c r="C35" s="74">
        <v>2</v>
      </c>
      <c r="D35" s="70"/>
      <c r="E35" s="75"/>
      <c r="F35" s="70"/>
      <c r="G35" s="75"/>
      <c r="H35" s="70"/>
      <c r="I35"/>
      <c r="J35"/>
    </row>
    <row r="36" spans="1:22" ht="15.75" customHeight="1" thickBot="1" x14ac:dyDescent="0.25">
      <c r="A36" s="25" t="s">
        <v>16</v>
      </c>
      <c r="B36" s="25">
        <f t="shared" si="3"/>
        <v>2.9999999999999997E-4</v>
      </c>
      <c r="C36" s="76">
        <v>7</v>
      </c>
      <c r="D36" s="71"/>
      <c r="E36" s="77"/>
      <c r="F36" s="71"/>
      <c r="G36" s="77"/>
      <c r="H36" s="71"/>
      <c r="I36"/>
      <c r="J36"/>
      <c r="T36" s="1">
        <v>0.1</v>
      </c>
      <c r="U36" s="1">
        <v>0.1</v>
      </c>
    </row>
    <row r="37" spans="1:22" ht="15.75" customHeight="1" thickBot="1" x14ac:dyDescent="0.25">
      <c r="A37" s="98" t="s">
        <v>99</v>
      </c>
      <c r="B37" s="100"/>
      <c r="C37" s="98" t="s">
        <v>71</v>
      </c>
      <c r="D37" s="99"/>
      <c r="E37" s="99"/>
      <c r="F37" s="99"/>
      <c r="G37" s="99"/>
      <c r="H37" s="100"/>
      <c r="I37"/>
      <c r="J37"/>
      <c r="T37" s="1">
        <v>0.05</v>
      </c>
      <c r="U37" s="1">
        <v>0.03</v>
      </c>
    </row>
    <row r="38" spans="1:22" ht="19.5" customHeight="1" thickBot="1" x14ac:dyDescent="0.25">
      <c r="A38" s="25" t="s">
        <v>24</v>
      </c>
      <c r="B38" s="26" t="str">
        <f>IF($P$13=2,$P$17,IF($P$13=1,$Q$17,"(Select TEFs to use)"))</f>
        <v>WHO 2005 TEFs</v>
      </c>
      <c r="C38" s="30" t="s">
        <v>18</v>
      </c>
      <c r="D38" s="30" t="s">
        <v>18</v>
      </c>
      <c r="E38" s="30" t="s">
        <v>18</v>
      </c>
      <c r="F38" s="30" t="s">
        <v>18</v>
      </c>
      <c r="G38" s="30" t="s">
        <v>18</v>
      </c>
      <c r="H38" s="30" t="s">
        <v>18</v>
      </c>
      <c r="I38"/>
      <c r="J38"/>
      <c r="P38" s="3" t="s">
        <v>59</v>
      </c>
      <c r="Q38" s="3" t="s">
        <v>60</v>
      </c>
      <c r="R38" s="5" t="s">
        <v>63</v>
      </c>
      <c r="S38" s="5" t="s">
        <v>64</v>
      </c>
      <c r="T38" s="1">
        <v>0.5</v>
      </c>
      <c r="U38" s="1">
        <v>0.3</v>
      </c>
    </row>
    <row r="39" spans="1:22" ht="15" thickBot="1" x14ac:dyDescent="0.25">
      <c r="A39" s="25" t="s">
        <v>26</v>
      </c>
      <c r="B39" s="25">
        <f t="shared" ref="B39:B45" si="4">IF($P$13=2,$P39,IF($P$13=1,$Q39,0))</f>
        <v>1</v>
      </c>
      <c r="C39" s="41">
        <f t="shared" ref="C39:H39" si="5">C18*$B39</f>
        <v>1</v>
      </c>
      <c r="D39" s="41">
        <f t="shared" si="5"/>
        <v>0</v>
      </c>
      <c r="E39" s="41">
        <f t="shared" si="5"/>
        <v>0</v>
      </c>
      <c r="F39" s="41">
        <f t="shared" si="5"/>
        <v>0</v>
      </c>
      <c r="G39" s="41">
        <f t="shared" si="5"/>
        <v>0</v>
      </c>
      <c r="H39" s="41">
        <f t="shared" si="5"/>
        <v>0</v>
      </c>
      <c r="I39"/>
      <c r="J39"/>
      <c r="P39" s="1">
        <v>1</v>
      </c>
      <c r="Q39" s="1">
        <v>1</v>
      </c>
      <c r="R39" s="5">
        <v>9.9999999999999995E-7</v>
      </c>
      <c r="S39" s="5">
        <v>1</v>
      </c>
      <c r="T39" s="1">
        <v>0.1</v>
      </c>
      <c r="U39" s="1">
        <v>0.1</v>
      </c>
    </row>
    <row r="40" spans="1:22" ht="15" thickBot="1" x14ac:dyDescent="0.25">
      <c r="A40" s="25" t="s">
        <v>0</v>
      </c>
      <c r="B40" s="25">
        <f t="shared" si="4"/>
        <v>1</v>
      </c>
      <c r="C40" s="41">
        <f t="shared" ref="C40:H40" si="6">C19*$B40</f>
        <v>1</v>
      </c>
      <c r="D40" s="41">
        <f t="shared" si="6"/>
        <v>0</v>
      </c>
      <c r="E40" s="41">
        <f t="shared" si="6"/>
        <v>0</v>
      </c>
      <c r="F40" s="41">
        <f t="shared" si="6"/>
        <v>0</v>
      </c>
      <c r="G40" s="41">
        <f t="shared" si="6"/>
        <v>0</v>
      </c>
      <c r="H40" s="41">
        <f t="shared" si="6"/>
        <v>0</v>
      </c>
      <c r="I40"/>
      <c r="J40"/>
      <c r="P40" s="1">
        <v>1</v>
      </c>
      <c r="Q40" s="1">
        <v>1</v>
      </c>
      <c r="R40" s="5">
        <v>9.9999999999999995E-7</v>
      </c>
      <c r="S40" s="5">
        <v>1</v>
      </c>
      <c r="T40" s="1">
        <v>0.1</v>
      </c>
      <c r="U40" s="1">
        <v>0.1</v>
      </c>
    </row>
    <row r="41" spans="1:22" ht="15" thickBot="1" x14ac:dyDescent="0.25">
      <c r="A41" s="25" t="s">
        <v>1</v>
      </c>
      <c r="B41" s="25">
        <f t="shared" si="4"/>
        <v>0.1</v>
      </c>
      <c r="C41" s="41">
        <f t="shared" ref="C41:H41" si="7">C20*$B41</f>
        <v>0.30000000000000004</v>
      </c>
      <c r="D41" s="41">
        <f t="shared" si="7"/>
        <v>0</v>
      </c>
      <c r="E41" s="41">
        <f t="shared" si="7"/>
        <v>0</v>
      </c>
      <c r="F41" s="41">
        <f t="shared" si="7"/>
        <v>0</v>
      </c>
      <c r="G41" s="41">
        <f t="shared" si="7"/>
        <v>0</v>
      </c>
      <c r="H41" s="41">
        <f t="shared" si="7"/>
        <v>0</v>
      </c>
      <c r="I41"/>
      <c r="J41"/>
      <c r="P41" s="1">
        <v>0.1</v>
      </c>
      <c r="Q41" s="1">
        <v>0.1</v>
      </c>
      <c r="R41" s="5">
        <v>9.9999999999999995E-7</v>
      </c>
      <c r="S41" s="5">
        <v>1</v>
      </c>
      <c r="T41" s="1">
        <v>0.1</v>
      </c>
      <c r="U41" s="1">
        <v>0.1</v>
      </c>
    </row>
    <row r="42" spans="1:22" ht="15" thickBot="1" x14ac:dyDescent="0.25">
      <c r="A42" s="25" t="s">
        <v>2</v>
      </c>
      <c r="B42" s="25">
        <f t="shared" si="4"/>
        <v>0.1</v>
      </c>
      <c r="C42" s="41">
        <f t="shared" ref="C42:H42" si="8">C21*$B42</f>
        <v>0.30000000000000004</v>
      </c>
      <c r="D42" s="41">
        <f t="shared" si="8"/>
        <v>0</v>
      </c>
      <c r="E42" s="41">
        <f t="shared" si="8"/>
        <v>0</v>
      </c>
      <c r="F42" s="41">
        <f t="shared" si="8"/>
        <v>0</v>
      </c>
      <c r="G42" s="41">
        <f t="shared" si="8"/>
        <v>0</v>
      </c>
      <c r="H42" s="41">
        <f t="shared" si="8"/>
        <v>0</v>
      </c>
      <c r="I42"/>
      <c r="J42"/>
      <c r="P42" s="1">
        <v>0.1</v>
      </c>
      <c r="Q42" s="1">
        <v>0.1</v>
      </c>
      <c r="R42" s="5">
        <v>9.9999999999999995E-7</v>
      </c>
      <c r="S42" s="5">
        <v>1</v>
      </c>
      <c r="T42" s="1">
        <v>0.1</v>
      </c>
      <c r="U42" s="1">
        <v>0.1</v>
      </c>
      <c r="V42" s="5" t="s">
        <v>29</v>
      </c>
    </row>
    <row r="43" spans="1:22" ht="15" thickBot="1" x14ac:dyDescent="0.25">
      <c r="A43" s="25" t="s">
        <v>3</v>
      </c>
      <c r="B43" s="25">
        <f t="shared" si="4"/>
        <v>0.1</v>
      </c>
      <c r="C43" s="41">
        <f t="shared" ref="C43:H43" si="9">C22*$B43</f>
        <v>1.2000000000000002</v>
      </c>
      <c r="D43" s="41">
        <f t="shared" si="9"/>
        <v>0</v>
      </c>
      <c r="E43" s="41">
        <f t="shared" si="9"/>
        <v>0</v>
      </c>
      <c r="F43" s="41">
        <f t="shared" si="9"/>
        <v>0</v>
      </c>
      <c r="G43" s="41">
        <f t="shared" si="9"/>
        <v>0</v>
      </c>
      <c r="H43" s="41">
        <f t="shared" si="9"/>
        <v>0</v>
      </c>
      <c r="I43"/>
      <c r="J43"/>
      <c r="P43" s="1">
        <v>0.1</v>
      </c>
      <c r="Q43" s="1">
        <v>0.1</v>
      </c>
      <c r="R43" s="5">
        <v>9.9999999999999995E-7</v>
      </c>
      <c r="S43" s="5">
        <v>1</v>
      </c>
      <c r="T43" s="1">
        <v>0.01</v>
      </c>
      <c r="U43" s="1">
        <v>0.01</v>
      </c>
      <c r="V43" s="5" t="s">
        <v>30</v>
      </c>
    </row>
    <row r="44" spans="1:22" ht="15" thickBot="1" x14ac:dyDescent="0.25">
      <c r="A44" s="25" t="s">
        <v>4</v>
      </c>
      <c r="B44" s="25">
        <f t="shared" si="4"/>
        <v>0.01</v>
      </c>
      <c r="C44" s="41">
        <f t="shared" ref="C44:H44" si="10">C23*$B44</f>
        <v>0.18</v>
      </c>
      <c r="D44" s="41">
        <f t="shared" si="10"/>
        <v>0</v>
      </c>
      <c r="E44" s="41">
        <f t="shared" si="10"/>
        <v>0</v>
      </c>
      <c r="F44" s="41">
        <f t="shared" si="10"/>
        <v>0</v>
      </c>
      <c r="G44" s="41">
        <f t="shared" si="10"/>
        <v>0</v>
      </c>
      <c r="H44" s="41">
        <f t="shared" si="10"/>
        <v>0</v>
      </c>
      <c r="I44"/>
      <c r="J44"/>
      <c r="P44" s="1">
        <v>0.01</v>
      </c>
      <c r="Q44" s="1">
        <v>0.01</v>
      </c>
      <c r="R44" s="5">
        <v>9.9999999999999995E-7</v>
      </c>
      <c r="S44" s="5">
        <v>1</v>
      </c>
      <c r="T44" s="1">
        <v>0.01</v>
      </c>
      <c r="U44" s="1">
        <v>0.01</v>
      </c>
      <c r="V44" s="5" t="s">
        <v>31</v>
      </c>
    </row>
    <row r="45" spans="1:22" ht="15.75" customHeight="1" thickBot="1" x14ac:dyDescent="0.25">
      <c r="A45" s="25" t="s">
        <v>5</v>
      </c>
      <c r="B45" s="25">
        <f t="shared" si="4"/>
        <v>2.9999999999999997E-4</v>
      </c>
      <c r="C45" s="41">
        <f t="shared" ref="C45:H45" si="11">C24*$B45</f>
        <v>1.1999999999999999E-3</v>
      </c>
      <c r="D45" s="41">
        <f t="shared" si="11"/>
        <v>0</v>
      </c>
      <c r="E45" s="41">
        <f t="shared" si="11"/>
        <v>0</v>
      </c>
      <c r="F45" s="41">
        <f t="shared" si="11"/>
        <v>0</v>
      </c>
      <c r="G45" s="41">
        <f t="shared" si="11"/>
        <v>0</v>
      </c>
      <c r="H45" s="41">
        <f t="shared" si="11"/>
        <v>0</v>
      </c>
      <c r="I45"/>
      <c r="J45"/>
      <c r="P45" s="1">
        <v>1E-4</v>
      </c>
      <c r="Q45" s="1">
        <v>2.9999999999999997E-4</v>
      </c>
      <c r="R45" s="5">
        <v>9.9999999999999995E-7</v>
      </c>
      <c r="S45" s="5">
        <v>1</v>
      </c>
      <c r="T45" s="1">
        <v>1E-4</v>
      </c>
      <c r="U45" s="1">
        <v>2.9999999999999997E-4</v>
      </c>
      <c r="V45" s="5" t="s">
        <v>32</v>
      </c>
    </row>
    <row r="46" spans="1:22" ht="15.75" customHeight="1" thickBot="1" x14ac:dyDescent="0.25">
      <c r="A46" s="98" t="s">
        <v>100</v>
      </c>
      <c r="B46" s="100"/>
      <c r="C46" s="98" t="s">
        <v>72</v>
      </c>
      <c r="D46" s="99"/>
      <c r="E46" s="99"/>
      <c r="F46" s="99"/>
      <c r="G46" s="99"/>
      <c r="H46" s="100"/>
      <c r="I46"/>
      <c r="J46"/>
      <c r="R46" s="5" t="s">
        <v>65</v>
      </c>
      <c r="S46" s="5" t="b">
        <f>IF(R36=2, 0.000007, IF(R36=1, 7))</f>
        <v>0</v>
      </c>
      <c r="T46" s="5" t="b">
        <f>IF(R36=2, "mg/kg", IF(R36=1, "ng/kg"))</f>
        <v>0</v>
      </c>
    </row>
    <row r="47" spans="1:22" ht="17.25" customHeight="1" thickBot="1" x14ac:dyDescent="0.25">
      <c r="A47" s="26" t="s">
        <v>24</v>
      </c>
      <c r="B47" s="26" t="str">
        <f>B38</f>
        <v>WHO 2005 TEFs</v>
      </c>
      <c r="C47" s="30" t="s">
        <v>18</v>
      </c>
      <c r="D47" s="30" t="s">
        <v>18</v>
      </c>
      <c r="E47" s="30" t="s">
        <v>18</v>
      </c>
      <c r="F47" s="30" t="s">
        <v>18</v>
      </c>
      <c r="G47" s="30" t="s">
        <v>18</v>
      </c>
      <c r="H47" s="30" t="s">
        <v>18</v>
      </c>
      <c r="I47"/>
      <c r="J47"/>
      <c r="R47" s="9" t="s">
        <v>28</v>
      </c>
    </row>
    <row r="48" spans="1:22" ht="15.75" customHeight="1" thickBot="1" x14ac:dyDescent="0.25">
      <c r="A48" s="25" t="s">
        <v>7</v>
      </c>
      <c r="B48" s="25">
        <f>IF($P$13=2,$T36,IF($P$13=1,$U36,0))</f>
        <v>0.1</v>
      </c>
      <c r="C48" s="41">
        <f t="shared" ref="C48:H48" si="12">C27*$B27</f>
        <v>0.8</v>
      </c>
      <c r="D48" s="41">
        <f t="shared" si="12"/>
        <v>0</v>
      </c>
      <c r="E48" s="41">
        <f t="shared" si="12"/>
        <v>0</v>
      </c>
      <c r="F48" s="41">
        <f t="shared" si="12"/>
        <v>0</v>
      </c>
      <c r="G48" s="41">
        <f t="shared" si="12"/>
        <v>0</v>
      </c>
      <c r="H48" s="41">
        <f t="shared" si="12"/>
        <v>0</v>
      </c>
      <c r="I48"/>
      <c r="J48"/>
    </row>
    <row r="49" spans="1:14" ht="15.75" customHeight="1" thickBot="1" x14ac:dyDescent="0.25">
      <c r="A49" s="25" t="s">
        <v>8</v>
      </c>
      <c r="B49" s="25">
        <f>IF($P$13=2,$T37,IF($P$13=1,$U37,0))</f>
        <v>0.03</v>
      </c>
      <c r="C49" s="41">
        <f t="shared" ref="C49:H49" si="13">C28*$B28</f>
        <v>0.51</v>
      </c>
      <c r="D49" s="41">
        <f t="shared" si="13"/>
        <v>0</v>
      </c>
      <c r="E49" s="41">
        <f t="shared" si="13"/>
        <v>0</v>
      </c>
      <c r="F49" s="41">
        <f t="shared" si="13"/>
        <v>0</v>
      </c>
      <c r="G49" s="41">
        <f t="shared" si="13"/>
        <v>0</v>
      </c>
      <c r="H49" s="41">
        <f t="shared" si="13"/>
        <v>0</v>
      </c>
      <c r="I49"/>
      <c r="J49"/>
    </row>
    <row r="50" spans="1:14" ht="15.75" customHeight="1" thickBot="1" x14ac:dyDescent="0.25">
      <c r="A50" s="25" t="s">
        <v>9</v>
      </c>
      <c r="B50" s="25">
        <f t="shared" ref="B50:B57" si="14">IF($P$13=2,$T38,IF($P$13=1,$U38,0))</f>
        <v>0.3</v>
      </c>
      <c r="C50" s="41">
        <f t="shared" ref="C50:H50" si="15">C29*$B29</f>
        <v>3.5999999999999996</v>
      </c>
      <c r="D50" s="41">
        <f t="shared" si="15"/>
        <v>0</v>
      </c>
      <c r="E50" s="41">
        <f t="shared" si="15"/>
        <v>0</v>
      </c>
      <c r="F50" s="41">
        <f t="shared" si="15"/>
        <v>0</v>
      </c>
      <c r="G50" s="41">
        <f t="shared" si="15"/>
        <v>0</v>
      </c>
      <c r="H50" s="41">
        <f t="shared" si="15"/>
        <v>0</v>
      </c>
      <c r="I50"/>
      <c r="J50"/>
    </row>
    <row r="51" spans="1:14" ht="15.75" customHeight="1" thickBot="1" x14ac:dyDescent="0.25">
      <c r="A51" s="25" t="s">
        <v>10</v>
      </c>
      <c r="B51" s="25">
        <f t="shared" si="14"/>
        <v>0.1</v>
      </c>
      <c r="C51" s="41">
        <f t="shared" ref="C51:H51" si="16">C30*$B30</f>
        <v>1.5</v>
      </c>
      <c r="D51" s="41">
        <f t="shared" si="16"/>
        <v>0</v>
      </c>
      <c r="E51" s="41">
        <f t="shared" si="16"/>
        <v>0</v>
      </c>
      <c r="F51" s="41">
        <f t="shared" si="16"/>
        <v>0</v>
      </c>
      <c r="G51" s="41">
        <f t="shared" si="16"/>
        <v>0</v>
      </c>
      <c r="H51" s="41">
        <f t="shared" si="16"/>
        <v>0</v>
      </c>
      <c r="I51"/>
      <c r="J51"/>
    </row>
    <row r="52" spans="1:14" ht="15.75" customHeight="1" thickBot="1" x14ac:dyDescent="0.25">
      <c r="A52" s="25" t="s">
        <v>11</v>
      </c>
      <c r="B52" s="25">
        <f t="shared" si="14"/>
        <v>0.1</v>
      </c>
      <c r="C52" s="41">
        <f t="shared" ref="C52:H52" si="17">C31*$B31</f>
        <v>0.70000000000000007</v>
      </c>
      <c r="D52" s="41">
        <f t="shared" si="17"/>
        <v>0</v>
      </c>
      <c r="E52" s="41">
        <f t="shared" si="17"/>
        <v>0</v>
      </c>
      <c r="F52" s="41">
        <f t="shared" si="17"/>
        <v>0</v>
      </c>
      <c r="G52" s="41">
        <f t="shared" si="17"/>
        <v>0</v>
      </c>
      <c r="H52" s="41">
        <f t="shared" si="17"/>
        <v>0</v>
      </c>
      <c r="I52"/>
      <c r="J52"/>
    </row>
    <row r="53" spans="1:14" ht="15.75" customHeight="1" thickBot="1" x14ac:dyDescent="0.25">
      <c r="A53" s="25" t="s">
        <v>12</v>
      </c>
      <c r="B53" s="25">
        <f t="shared" si="14"/>
        <v>0.1</v>
      </c>
      <c r="C53" s="41">
        <f t="shared" ref="C53:H53" si="18">C32*$B32</f>
        <v>0.8</v>
      </c>
      <c r="D53" s="41">
        <f t="shared" si="18"/>
        <v>0</v>
      </c>
      <c r="E53" s="41">
        <f t="shared" si="18"/>
        <v>0</v>
      </c>
      <c r="F53" s="41">
        <f t="shared" si="18"/>
        <v>0</v>
      </c>
      <c r="G53" s="41">
        <f t="shared" si="18"/>
        <v>0</v>
      </c>
      <c r="H53" s="41">
        <f t="shared" si="18"/>
        <v>0</v>
      </c>
      <c r="I53"/>
      <c r="J53"/>
    </row>
    <row r="54" spans="1:14" ht="15.75" customHeight="1" thickBot="1" x14ac:dyDescent="0.25">
      <c r="A54" s="25" t="s">
        <v>13</v>
      </c>
      <c r="B54" s="25">
        <f t="shared" si="14"/>
        <v>0.1</v>
      </c>
      <c r="C54" s="41">
        <f t="shared" ref="C54:H54" si="19">C33*$B33</f>
        <v>0.5</v>
      </c>
      <c r="D54" s="41">
        <f t="shared" si="19"/>
        <v>0</v>
      </c>
      <c r="E54" s="41">
        <f t="shared" si="19"/>
        <v>0</v>
      </c>
      <c r="F54" s="41">
        <f t="shared" si="19"/>
        <v>0</v>
      </c>
      <c r="G54" s="41">
        <f>G33*$B33</f>
        <v>0</v>
      </c>
      <c r="H54" s="41">
        <f t="shared" si="19"/>
        <v>0</v>
      </c>
      <c r="I54"/>
      <c r="J54"/>
    </row>
    <row r="55" spans="1:14" ht="15.75" customHeight="1" thickBot="1" x14ac:dyDescent="0.25">
      <c r="A55" s="25" t="s">
        <v>14</v>
      </c>
      <c r="B55" s="25">
        <f t="shared" si="14"/>
        <v>0.01</v>
      </c>
      <c r="C55" s="41">
        <f t="shared" ref="C55:H55" si="20">C34*$B34</f>
        <v>0.19</v>
      </c>
      <c r="D55" s="41">
        <f t="shared" si="20"/>
        <v>0</v>
      </c>
      <c r="E55" s="41">
        <f t="shared" si="20"/>
        <v>0</v>
      </c>
      <c r="F55" s="41">
        <f t="shared" si="20"/>
        <v>0</v>
      </c>
      <c r="G55" s="41">
        <f t="shared" si="20"/>
        <v>0</v>
      </c>
      <c r="H55" s="41">
        <f t="shared" si="20"/>
        <v>0</v>
      </c>
      <c r="I55"/>
      <c r="J55"/>
    </row>
    <row r="56" spans="1:14" ht="15.75" customHeight="1" thickBot="1" x14ac:dyDescent="0.25">
      <c r="A56" s="25" t="s">
        <v>15</v>
      </c>
      <c r="B56" s="25">
        <f t="shared" si="14"/>
        <v>0.01</v>
      </c>
      <c r="C56" s="41">
        <f t="shared" ref="C56:H56" si="21">C35*$B35</f>
        <v>0.02</v>
      </c>
      <c r="D56" s="41">
        <f t="shared" si="21"/>
        <v>0</v>
      </c>
      <c r="E56" s="41">
        <f t="shared" si="21"/>
        <v>0</v>
      </c>
      <c r="F56" s="41">
        <f t="shared" si="21"/>
        <v>0</v>
      </c>
      <c r="G56" s="41">
        <f t="shared" si="21"/>
        <v>0</v>
      </c>
      <c r="H56" s="41">
        <f t="shared" si="21"/>
        <v>0</v>
      </c>
      <c r="I56"/>
      <c r="J56"/>
    </row>
    <row r="57" spans="1:14" ht="15.75" customHeight="1" thickBot="1" x14ac:dyDescent="0.25">
      <c r="A57" s="25" t="s">
        <v>16</v>
      </c>
      <c r="B57" s="25">
        <f t="shared" si="14"/>
        <v>2.9999999999999997E-4</v>
      </c>
      <c r="C57" s="41">
        <f t="shared" ref="C57:H57" si="22">C36*$B36</f>
        <v>2.0999999999999999E-3</v>
      </c>
      <c r="D57" s="41">
        <f t="shared" si="22"/>
        <v>0</v>
      </c>
      <c r="E57" s="41">
        <f t="shared" si="22"/>
        <v>0</v>
      </c>
      <c r="F57" s="41">
        <f t="shared" si="22"/>
        <v>0</v>
      </c>
      <c r="G57" s="41">
        <f t="shared" si="22"/>
        <v>0</v>
      </c>
      <c r="H57" s="41">
        <f t="shared" si="22"/>
        <v>0</v>
      </c>
      <c r="I57"/>
      <c r="J57"/>
    </row>
    <row r="58" spans="1:14" ht="15.75" customHeight="1" thickBot="1" x14ac:dyDescent="0.25">
      <c r="A58" s="98" t="s">
        <v>89</v>
      </c>
      <c r="B58" s="100"/>
      <c r="C58" s="101" t="s">
        <v>89</v>
      </c>
      <c r="D58" s="102"/>
      <c r="E58" s="102"/>
      <c r="F58" s="102"/>
      <c r="G58" s="102"/>
      <c r="H58" s="103"/>
      <c r="I58"/>
      <c r="J58"/>
    </row>
    <row r="59" spans="1:14" ht="15.75" customHeight="1" thickBot="1" x14ac:dyDescent="0.3">
      <c r="A59" s="123" t="str">
        <f>"Total Dioxin Equivalents ("&amp;H5&amp;")="</f>
        <v>Total Dioxin Equivalents (ng/kg)=</v>
      </c>
      <c r="B59" s="124"/>
      <c r="C59" s="50">
        <f t="shared" ref="C59:H59" si="23">SUM(C39:C45)</f>
        <v>3.9811999999999999</v>
      </c>
      <c r="D59" s="51">
        <f t="shared" si="23"/>
        <v>0</v>
      </c>
      <c r="E59" s="51">
        <f t="shared" si="23"/>
        <v>0</v>
      </c>
      <c r="F59" s="51">
        <f t="shared" si="23"/>
        <v>0</v>
      </c>
      <c r="G59" s="51">
        <f t="shared" si="23"/>
        <v>0</v>
      </c>
      <c r="H59" s="52">
        <f t="shared" si="23"/>
        <v>0</v>
      </c>
      <c r="I59"/>
      <c r="J59"/>
    </row>
    <row r="60" spans="1:14" ht="15.75" customHeight="1" thickBot="1" x14ac:dyDescent="0.3">
      <c r="A60" s="104" t="str">
        <f>"Total Furan Equivalents ("&amp;H5&amp;")="</f>
        <v>Total Furan Equivalents (ng/kg)=</v>
      </c>
      <c r="B60" s="105"/>
      <c r="C60" s="53">
        <f t="shared" ref="C60:H60" si="24">SUM(C48:C57)</f>
        <v>8.6220999999999997</v>
      </c>
      <c r="D60" s="49">
        <f t="shared" si="24"/>
        <v>0</v>
      </c>
      <c r="E60" s="49">
        <f t="shared" si="24"/>
        <v>0</v>
      </c>
      <c r="F60" s="49">
        <f t="shared" si="24"/>
        <v>0</v>
      </c>
      <c r="G60" s="49">
        <f t="shared" si="24"/>
        <v>0</v>
      </c>
      <c r="H60" s="54">
        <f t="shared" si="24"/>
        <v>0</v>
      </c>
      <c r="I60"/>
      <c r="J60"/>
    </row>
    <row r="61" spans="1:14" ht="15.75" customHeight="1" thickBot="1" x14ac:dyDescent="0.3">
      <c r="A61" s="104" t="str">
        <f>"Total TEQs; Dioxins + Furans ("&amp;H5&amp;")="</f>
        <v>Total TEQs; Dioxins + Furans (ng/kg)=</v>
      </c>
      <c r="B61" s="105"/>
      <c r="C61" s="55">
        <f t="shared" ref="C61:H61" si="25">C60+C59</f>
        <v>12.603299999999999</v>
      </c>
      <c r="D61" s="56">
        <f t="shared" si="25"/>
        <v>0</v>
      </c>
      <c r="E61" s="56">
        <f t="shared" si="25"/>
        <v>0</v>
      </c>
      <c r="F61" s="56">
        <f t="shared" si="25"/>
        <v>0</v>
      </c>
      <c r="G61" s="56">
        <f t="shared" si="25"/>
        <v>0</v>
      </c>
      <c r="H61" s="57">
        <f t="shared" si="25"/>
        <v>0</v>
      </c>
      <c r="I61"/>
      <c r="J61"/>
    </row>
    <row r="62" spans="1:14" ht="15.75" customHeight="1" thickBot="1" x14ac:dyDescent="0.25">
      <c r="A62" s="98"/>
      <c r="B62" s="100"/>
      <c r="C62" s="113" t="s">
        <v>96</v>
      </c>
      <c r="D62" s="114"/>
      <c r="E62" s="114"/>
      <c r="F62" s="114"/>
      <c r="G62" s="114"/>
      <c r="H62" s="115"/>
      <c r="I62"/>
      <c r="J62"/>
      <c r="M62" s="11"/>
      <c r="N62" s="10"/>
    </row>
    <row r="63" spans="1:14" ht="15.75" customHeight="1" thickBot="1" x14ac:dyDescent="0.25">
      <c r="A63" s="116" t="s">
        <v>75</v>
      </c>
      <c r="B63" s="122"/>
      <c r="C63" s="58" t="str">
        <f t="shared" ref="C63:H63" si="26">IF(ISBLANK(C12)=FALSE, C12, "")</f>
        <v/>
      </c>
      <c r="D63" s="58" t="str">
        <f t="shared" si="26"/>
        <v/>
      </c>
      <c r="E63" s="58" t="str">
        <f t="shared" si="26"/>
        <v/>
      </c>
      <c r="F63" s="58" t="str">
        <f t="shared" si="26"/>
        <v/>
      </c>
      <c r="G63" s="59" t="str">
        <f t="shared" si="26"/>
        <v/>
      </c>
      <c r="H63" s="58" t="str">
        <f t="shared" si="26"/>
        <v/>
      </c>
      <c r="I63"/>
      <c r="J63"/>
    </row>
    <row r="64" spans="1:14" ht="15.75" thickBot="1" x14ac:dyDescent="0.25">
      <c r="A64" s="116" t="str">
        <f>"The "&amp;RDET&amp;" of "&amp;RDEN&amp;" "&amp;RDEU&amp;"?"</f>
        <v>The Residential Direct Exposure SCTL of 7 ng/kg?</v>
      </c>
      <c r="B64" s="117"/>
      <c r="C64" s="61" t="str">
        <f t="shared" ref="C64:H64" si="27">IF(C61&gt;RDER, "EXCEEDS", "OK")</f>
        <v>EXCEEDS</v>
      </c>
      <c r="D64" s="62" t="str">
        <f t="shared" si="27"/>
        <v>OK</v>
      </c>
      <c r="E64" s="62" t="str">
        <f t="shared" si="27"/>
        <v>OK</v>
      </c>
      <c r="F64" s="62" t="str">
        <f t="shared" si="27"/>
        <v>OK</v>
      </c>
      <c r="G64" s="62" t="str">
        <f t="shared" si="27"/>
        <v>OK</v>
      </c>
      <c r="H64" s="63" t="str">
        <f t="shared" si="27"/>
        <v>OK</v>
      </c>
      <c r="I64"/>
      <c r="J64"/>
      <c r="K64" s="4"/>
    </row>
    <row r="65" spans="1:10" ht="15.75" thickBot="1" x14ac:dyDescent="0.25">
      <c r="A65" s="116" t="str">
        <f>"The "&amp;IDET&amp;" of "&amp;IDEN&amp;" "&amp;IDEU&amp;"?"</f>
        <v>The Industrial Direct Exposure SCTL of 30 ng/kg?</v>
      </c>
      <c r="B65" s="117"/>
      <c r="C65" s="64" t="str">
        <f t="shared" ref="C65:H65" si="28">IF(C$61&gt;IDER, "EXCEEDS", "OK")</f>
        <v>OK</v>
      </c>
      <c r="D65" s="60" t="str">
        <f t="shared" si="28"/>
        <v>OK</v>
      </c>
      <c r="E65" s="60" t="str">
        <f t="shared" si="28"/>
        <v>OK</v>
      </c>
      <c r="F65" s="60" t="str">
        <f t="shared" si="28"/>
        <v>OK</v>
      </c>
      <c r="G65" s="60" t="str">
        <f t="shared" si="28"/>
        <v>OK</v>
      </c>
      <c r="H65" s="65" t="str">
        <f t="shared" si="28"/>
        <v>OK</v>
      </c>
      <c r="I65"/>
      <c r="J65"/>
    </row>
    <row r="66" spans="1:10" ht="15.75" thickBot="1" x14ac:dyDescent="0.25">
      <c r="A66" s="116" t="str">
        <f>IF(ISBLANK(G7)=FALSE, "The "&amp;AST&amp;" of "&amp;ASN&amp;" "&amp;ASU&amp;"?", "No Alternative SCTL Given")</f>
        <v>The Alternative SCTL of 0.00004 mg/kg?</v>
      </c>
      <c r="B66" s="117"/>
      <c r="C66" s="64" t="str">
        <f t="shared" ref="C66:H66" si="29">IF(ISBLANK($G7)=TRUE,"N/A",IF(C$61&gt;CASR,"EXCEEDS","OK"))</f>
        <v>OK</v>
      </c>
      <c r="D66" s="60" t="str">
        <f t="shared" si="29"/>
        <v>OK</v>
      </c>
      <c r="E66" s="60" t="str">
        <f t="shared" si="29"/>
        <v>OK</v>
      </c>
      <c r="F66" s="60" t="str">
        <f t="shared" si="29"/>
        <v>OK</v>
      </c>
      <c r="G66" s="60" t="str">
        <f t="shared" si="29"/>
        <v>OK</v>
      </c>
      <c r="H66" s="65" t="str">
        <f t="shared" si="29"/>
        <v>OK</v>
      </c>
      <c r="I66"/>
      <c r="J66"/>
    </row>
    <row r="67" spans="1:10" ht="15.75" thickBot="1" x14ac:dyDescent="0.25">
      <c r="A67" s="116" t="str">
        <f>IF(ISBLANK(G8)=FALSE, "The "&amp;BCT&amp;" of "&amp;BCN&amp;" "&amp;BCU&amp;"?", "No Site Specific Background Given")</f>
        <v>The Site Specific Background of 0.000015 mg/kg?</v>
      </c>
      <c r="B67" s="117"/>
      <c r="C67" s="66" t="str">
        <f t="shared" ref="C67:H67" si="30">IF(ISBLANK($G8)=TRUE,"N/A",IF(C$61&gt;CBCR,"EXCEEDS","OK"))</f>
        <v>OK</v>
      </c>
      <c r="D67" s="67" t="str">
        <f t="shared" si="30"/>
        <v>OK</v>
      </c>
      <c r="E67" s="67" t="str">
        <f t="shared" si="30"/>
        <v>OK</v>
      </c>
      <c r="F67" s="67" t="str">
        <f t="shared" si="30"/>
        <v>OK</v>
      </c>
      <c r="G67" s="67" t="str">
        <f t="shared" si="30"/>
        <v>OK</v>
      </c>
      <c r="H67" s="68" t="str">
        <f t="shared" si="30"/>
        <v>OK</v>
      </c>
      <c r="I67"/>
      <c r="J67"/>
    </row>
    <row r="68" spans="1:10" ht="15" x14ac:dyDescent="0.2">
      <c r="A68"/>
      <c r="B68"/>
      <c r="C68" s="42"/>
      <c r="D68" s="42"/>
      <c r="E68" s="42"/>
      <c r="F68" s="42"/>
      <c r="G68" s="42"/>
      <c r="H68" s="42"/>
      <c r="I68"/>
      <c r="J68"/>
    </row>
    <row r="69" spans="1:10" ht="15.75" thickBot="1" x14ac:dyDescent="0.25">
      <c r="A69"/>
      <c r="B69"/>
      <c r="C69" s="42"/>
      <c r="D69" s="42"/>
      <c r="E69" s="42"/>
      <c r="F69" s="42"/>
      <c r="G69" s="42"/>
      <c r="H69" s="42"/>
      <c r="I69"/>
      <c r="J69"/>
    </row>
    <row r="70" spans="1:10" ht="15.75" customHeight="1" x14ac:dyDescent="0.2">
      <c r="A70" s="101" t="s">
        <v>95</v>
      </c>
      <c r="B70" s="102"/>
      <c r="C70" s="102"/>
      <c r="D70" s="102"/>
      <c r="E70" s="103"/>
      <c r="F70" s="42"/>
      <c r="G70" s="42"/>
      <c r="H70" s="42"/>
      <c r="I70"/>
      <c r="J70"/>
    </row>
    <row r="71" spans="1:10" ht="15.75" thickBot="1" x14ac:dyDescent="0.25">
      <c r="A71" s="113"/>
      <c r="B71" s="114"/>
      <c r="C71" s="114"/>
      <c r="D71" s="114"/>
      <c r="E71" s="115"/>
      <c r="F71" s="42"/>
      <c r="G71" s="42"/>
      <c r="H71" s="42"/>
      <c r="I71"/>
      <c r="J71"/>
    </row>
    <row r="72" spans="1:10" ht="15.75" customHeight="1" x14ac:dyDescent="0.2">
      <c r="A72" s="12"/>
      <c r="B72" s="12"/>
      <c r="C72" s="12"/>
      <c r="D72" s="12"/>
      <c r="E72" s="12"/>
      <c r="F72" s="12"/>
      <c r="G72" s="12"/>
      <c r="H72" s="12"/>
      <c r="I72" s="12"/>
      <c r="J72" s="12"/>
    </row>
    <row r="73" spans="1:10" ht="15.75" customHeight="1" x14ac:dyDescent="0.25">
      <c r="A73" s="110" t="s">
        <v>34</v>
      </c>
      <c r="B73" s="111"/>
      <c r="C73" s="111"/>
      <c r="D73" s="111"/>
      <c r="E73" s="112"/>
      <c r="F73" s="12"/>
      <c r="G73" s="12"/>
      <c r="H73" s="12"/>
      <c r="I73" s="12"/>
      <c r="J73" s="12"/>
    </row>
    <row r="74" spans="1:10" ht="34.5" customHeight="1" x14ac:dyDescent="0.25">
      <c r="A74" s="31" t="s">
        <v>35</v>
      </c>
      <c r="B74" s="32" t="s">
        <v>36</v>
      </c>
      <c r="C74" s="31" t="s">
        <v>37</v>
      </c>
      <c r="D74" s="120" t="s">
        <v>38</v>
      </c>
      <c r="E74" s="121"/>
      <c r="F74" s="12"/>
      <c r="G74" s="12"/>
      <c r="H74" s="12"/>
      <c r="I74" s="12"/>
      <c r="J74" s="12"/>
    </row>
    <row r="75" spans="1:10" ht="30.75" customHeight="1" x14ac:dyDescent="0.2">
      <c r="A75" s="13" t="s">
        <v>39</v>
      </c>
      <c r="B75" s="14"/>
      <c r="C75" s="14" t="s">
        <v>40</v>
      </c>
      <c r="D75" s="109" t="s">
        <v>41</v>
      </c>
      <c r="E75" s="109"/>
      <c r="F75" s="12"/>
      <c r="G75" s="12"/>
      <c r="H75" s="12"/>
      <c r="I75" s="12"/>
      <c r="J75" s="12"/>
    </row>
    <row r="76" spans="1:10" ht="15.75" customHeight="1" x14ac:dyDescent="0.2">
      <c r="A76" s="14" t="s">
        <v>42</v>
      </c>
      <c r="B76" s="14"/>
      <c r="C76" s="14" t="s">
        <v>43</v>
      </c>
      <c r="D76" s="109" t="s">
        <v>50</v>
      </c>
      <c r="E76" s="109"/>
      <c r="F76" s="12"/>
      <c r="G76" s="12"/>
      <c r="H76" s="12"/>
      <c r="I76" s="12"/>
      <c r="J76" s="12"/>
    </row>
    <row r="77" spans="1:10" ht="15.75" customHeight="1" x14ac:dyDescent="0.2">
      <c r="A77" s="14" t="s">
        <v>44</v>
      </c>
      <c r="B77" s="14" t="s">
        <v>45</v>
      </c>
      <c r="C77" s="14" t="s">
        <v>46</v>
      </c>
      <c r="D77" s="109" t="s">
        <v>47</v>
      </c>
      <c r="E77" s="109"/>
      <c r="F77" s="12"/>
      <c r="G77" s="12"/>
      <c r="H77" s="12"/>
      <c r="I77" s="12"/>
      <c r="J77" s="12"/>
    </row>
    <row r="78" spans="1:10" ht="15.75" customHeight="1" x14ac:dyDescent="0.2">
      <c r="A78" s="14" t="s">
        <v>48</v>
      </c>
      <c r="B78" s="14" t="s">
        <v>42</v>
      </c>
      <c r="C78" s="14" t="s">
        <v>49</v>
      </c>
      <c r="D78" s="109" t="s">
        <v>50</v>
      </c>
      <c r="E78" s="109"/>
      <c r="F78" s="12"/>
      <c r="G78" s="12"/>
      <c r="H78" s="12"/>
      <c r="I78" s="12"/>
      <c r="J78" s="12"/>
    </row>
    <row r="79" spans="1:10" ht="15.75" customHeight="1" x14ac:dyDescent="0.2">
      <c r="A79" s="14" t="s">
        <v>51</v>
      </c>
      <c r="B79" s="14" t="s">
        <v>42</v>
      </c>
      <c r="C79" s="14" t="s">
        <v>52</v>
      </c>
      <c r="D79" s="109" t="s">
        <v>50</v>
      </c>
      <c r="E79" s="109"/>
      <c r="F79" s="12"/>
      <c r="G79" s="12"/>
      <c r="H79" s="12"/>
      <c r="I79" s="12"/>
      <c r="J79" s="12"/>
    </row>
    <row r="80" spans="1:10" ht="15.75" customHeight="1" x14ac:dyDescent="0.2">
      <c r="A80" s="14" t="s">
        <v>51</v>
      </c>
      <c r="B80" s="14" t="s">
        <v>53</v>
      </c>
      <c r="C80" s="14" t="s">
        <v>54</v>
      </c>
      <c r="D80" s="109" t="s">
        <v>47</v>
      </c>
      <c r="E80" s="109"/>
      <c r="F80" s="12"/>
      <c r="G80" s="12"/>
      <c r="H80" s="12"/>
      <c r="I80" s="12"/>
      <c r="J80" s="12"/>
    </row>
    <row r="81" spans="1:10" ht="15.75" customHeight="1" x14ac:dyDescent="0.2">
      <c r="A81" s="14" t="s">
        <v>42</v>
      </c>
      <c r="B81" s="14" t="s">
        <v>42</v>
      </c>
      <c r="C81" s="14" t="s">
        <v>55</v>
      </c>
      <c r="D81" s="109" t="s">
        <v>50</v>
      </c>
      <c r="E81" s="109"/>
      <c r="F81" s="12"/>
      <c r="G81" s="12"/>
      <c r="H81" s="12"/>
      <c r="I81" s="12"/>
      <c r="J81" s="12"/>
    </row>
    <row r="82" spans="1:10" ht="15.75" customHeight="1" x14ac:dyDescent="0.2">
      <c r="A82" s="14" t="s">
        <v>57</v>
      </c>
      <c r="B82" s="14" t="s">
        <v>56</v>
      </c>
      <c r="C82" s="14" t="s">
        <v>56</v>
      </c>
      <c r="D82" s="109" t="s">
        <v>47</v>
      </c>
      <c r="E82" s="109"/>
      <c r="F82" s="12"/>
      <c r="G82" s="12"/>
      <c r="H82" s="12"/>
      <c r="I82" s="12"/>
      <c r="J82" s="12"/>
    </row>
    <row r="83" spans="1:10" ht="15.75" customHeight="1" x14ac:dyDescent="0.2">
      <c r="A83" s="12"/>
      <c r="B83" s="12"/>
      <c r="C83" s="12"/>
      <c r="D83" s="12"/>
      <c r="E83" s="12"/>
      <c r="F83" s="12"/>
      <c r="G83" s="12"/>
      <c r="H83" s="12"/>
      <c r="I83" s="12"/>
      <c r="J83" s="12"/>
    </row>
    <row r="84" spans="1:10" ht="15.75" customHeight="1" x14ac:dyDescent="0.2">
      <c r="A84" s="12"/>
      <c r="B84" s="12"/>
      <c r="C84" s="12"/>
      <c r="D84" s="12"/>
      <c r="E84" s="12"/>
      <c r="F84" s="12"/>
      <c r="G84" s="12"/>
      <c r="H84" s="12"/>
      <c r="I84" s="12"/>
      <c r="J84" s="12"/>
    </row>
    <row r="85" spans="1:10" ht="32.25" customHeight="1" x14ac:dyDescent="0.2">
      <c r="A85" s="106" t="s">
        <v>73</v>
      </c>
      <c r="B85" s="107"/>
      <c r="C85" s="107"/>
      <c r="D85" s="107"/>
      <c r="E85" s="107"/>
      <c r="F85" s="107"/>
      <c r="G85" s="107"/>
      <c r="H85" s="107"/>
      <c r="I85" s="108"/>
      <c r="J85" s="47"/>
    </row>
    <row r="86" spans="1:10" ht="15.75" customHeight="1" x14ac:dyDescent="0.2">
      <c r="A86" s="89" t="s">
        <v>33</v>
      </c>
      <c r="B86" s="90"/>
      <c r="C86" s="90"/>
      <c r="D86" s="90"/>
      <c r="E86" s="90"/>
      <c r="F86" s="90"/>
      <c r="G86" s="90"/>
      <c r="H86" s="90"/>
      <c r="I86" s="91"/>
      <c r="J86" s="45"/>
    </row>
    <row r="87" spans="1:10" ht="15.75" customHeight="1" x14ac:dyDescent="0.2">
      <c r="A87" s="89" t="s">
        <v>86</v>
      </c>
      <c r="B87" s="90"/>
      <c r="C87" s="90"/>
      <c r="D87" s="90"/>
      <c r="E87" s="90"/>
      <c r="F87" s="90"/>
      <c r="G87" s="90"/>
      <c r="H87" s="90"/>
      <c r="I87" s="91"/>
      <c r="J87" s="45"/>
    </row>
    <row r="88" spans="1:10" ht="15.75" customHeight="1" x14ac:dyDescent="0.2">
      <c r="A88" s="95" t="s">
        <v>85</v>
      </c>
      <c r="B88" s="96"/>
      <c r="C88" s="96"/>
      <c r="D88" s="96"/>
      <c r="E88" s="96"/>
      <c r="F88" s="96"/>
      <c r="G88" s="96"/>
      <c r="H88" s="96"/>
      <c r="I88" s="97"/>
      <c r="J88" s="48"/>
    </row>
    <row r="89" spans="1:10" ht="15.75" customHeight="1" x14ac:dyDescent="0.2">
      <c r="A89" s="89" t="s">
        <v>84</v>
      </c>
      <c r="B89" s="90"/>
      <c r="C89" s="90"/>
      <c r="D89" s="90"/>
      <c r="E89" s="90"/>
      <c r="F89" s="90"/>
      <c r="G89" s="90"/>
      <c r="H89" s="90"/>
      <c r="I89" s="91"/>
      <c r="J89" s="45"/>
    </row>
    <row r="90" spans="1:10" ht="14.25" customHeight="1" x14ac:dyDescent="0.2">
      <c r="A90" s="89" t="s">
        <v>83</v>
      </c>
      <c r="B90" s="90"/>
      <c r="C90" s="90"/>
      <c r="D90" s="90"/>
      <c r="E90" s="90"/>
      <c r="F90" s="90"/>
      <c r="G90" s="90"/>
      <c r="H90" s="90"/>
      <c r="I90" s="91"/>
      <c r="J90" s="45"/>
    </row>
    <row r="91" spans="1:10" ht="14.25" customHeight="1" x14ac:dyDescent="0.2">
      <c r="A91" s="89" t="s">
        <v>82</v>
      </c>
      <c r="B91" s="90"/>
      <c r="C91" s="90"/>
      <c r="D91" s="90"/>
      <c r="E91" s="90"/>
      <c r="F91" s="90"/>
      <c r="G91" s="90"/>
      <c r="H91" s="90"/>
      <c r="I91" s="91"/>
      <c r="J91" s="45"/>
    </row>
    <row r="92" spans="1:10" ht="14.25" customHeight="1" x14ac:dyDescent="0.2">
      <c r="A92" s="89" t="s">
        <v>80</v>
      </c>
      <c r="B92" s="90"/>
      <c r="C92" s="90"/>
      <c r="D92" s="90"/>
      <c r="E92" s="90"/>
      <c r="F92" s="90"/>
      <c r="G92" s="90"/>
      <c r="H92" s="90"/>
      <c r="I92" s="91"/>
      <c r="J92" s="45"/>
    </row>
    <row r="93" spans="1:10" ht="28.5" customHeight="1" x14ac:dyDescent="0.2">
      <c r="A93" s="89" t="s">
        <v>81</v>
      </c>
      <c r="B93" s="90"/>
      <c r="C93" s="90"/>
      <c r="D93" s="90"/>
      <c r="E93" s="90"/>
      <c r="F93" s="90"/>
      <c r="G93" s="90"/>
      <c r="H93" s="90"/>
      <c r="I93" s="91"/>
      <c r="J93" s="45"/>
    </row>
    <row r="94" spans="1:10" ht="14.25" customHeight="1" x14ac:dyDescent="0.2">
      <c r="A94" s="89" t="s">
        <v>79</v>
      </c>
      <c r="B94" s="90"/>
      <c r="C94" s="90"/>
      <c r="D94" s="90"/>
      <c r="E94" s="90"/>
      <c r="F94" s="90"/>
      <c r="G94" s="90"/>
      <c r="H94" s="90"/>
      <c r="I94" s="91"/>
      <c r="J94" s="45"/>
    </row>
    <row r="95" spans="1:10" ht="17.25" customHeight="1" x14ac:dyDescent="0.2">
      <c r="A95" s="92" t="s">
        <v>74</v>
      </c>
      <c r="B95" s="93"/>
      <c r="C95" s="93"/>
      <c r="D95" s="93"/>
      <c r="E95" s="93"/>
      <c r="F95" s="93"/>
      <c r="G95" s="93"/>
      <c r="H95" s="93"/>
      <c r="I95" s="94"/>
      <c r="J95" s="46"/>
    </row>
    <row r="96" spans="1:10" x14ac:dyDescent="0.2">
      <c r="A96" s="12"/>
      <c r="B96" s="12"/>
      <c r="C96" s="12"/>
      <c r="D96" s="12"/>
      <c r="E96" s="12"/>
      <c r="F96" s="12"/>
      <c r="G96" s="12"/>
      <c r="H96" s="12"/>
      <c r="I96" s="12"/>
      <c r="J96" s="12"/>
    </row>
  </sheetData>
  <sheetProtection password="C917" sheet="1"/>
  <mergeCells count="56">
    <mergeCell ref="A1:H1"/>
    <mergeCell ref="E5:F5"/>
    <mergeCell ref="E6:F6"/>
    <mergeCell ref="E4:F4"/>
    <mergeCell ref="A3:H3"/>
    <mergeCell ref="A2:H2"/>
    <mergeCell ref="J7:J8"/>
    <mergeCell ref="D9:E9"/>
    <mergeCell ref="A60:B60"/>
    <mergeCell ref="E7:F7"/>
    <mergeCell ref="E8:F8"/>
    <mergeCell ref="C16:H16"/>
    <mergeCell ref="A58:B58"/>
    <mergeCell ref="A46:B46"/>
    <mergeCell ref="A12:A15"/>
    <mergeCell ref="B4:C4"/>
    <mergeCell ref="D80:E80"/>
    <mergeCell ref="D81:E81"/>
    <mergeCell ref="D82:E82"/>
    <mergeCell ref="D76:E76"/>
    <mergeCell ref="D77:E77"/>
    <mergeCell ref="D78:E78"/>
    <mergeCell ref="D79:E79"/>
    <mergeCell ref="A64:B64"/>
    <mergeCell ref="D74:E74"/>
    <mergeCell ref="A63:B63"/>
    <mergeCell ref="A59:B59"/>
    <mergeCell ref="B5:C5"/>
    <mergeCell ref="B6:C6"/>
    <mergeCell ref="A67:B67"/>
    <mergeCell ref="A16:B16"/>
    <mergeCell ref="A85:I85"/>
    <mergeCell ref="A86:I86"/>
    <mergeCell ref="D75:E75"/>
    <mergeCell ref="A73:E73"/>
    <mergeCell ref="A70:E71"/>
    <mergeCell ref="A65:B65"/>
    <mergeCell ref="A66:B66"/>
    <mergeCell ref="C62:H62"/>
    <mergeCell ref="A62:B62"/>
    <mergeCell ref="A95:I95"/>
    <mergeCell ref="A87:I87"/>
    <mergeCell ref="A88:I88"/>
    <mergeCell ref="A89:I89"/>
    <mergeCell ref="C25:H25"/>
    <mergeCell ref="C37:H37"/>
    <mergeCell ref="C46:H46"/>
    <mergeCell ref="C58:H58"/>
    <mergeCell ref="A37:B37"/>
    <mergeCell ref="A25:B25"/>
    <mergeCell ref="A61:B61"/>
    <mergeCell ref="A90:I90"/>
    <mergeCell ref="A91:I91"/>
    <mergeCell ref="A92:I92"/>
    <mergeCell ref="A93:I93"/>
    <mergeCell ref="A94:I94"/>
  </mergeCells>
  <phoneticPr fontId="0" type="noConversion"/>
  <conditionalFormatting sqref="C64:H69 F70:H71">
    <cfRule type="containsText" dxfId="11" priority="10" stopIfTrue="1" operator="containsText" text="N/A">
      <formula>NOT(ISERROR(SEARCH("N/A",C64)))</formula>
    </cfRule>
    <cfRule type="containsText" dxfId="10" priority="11" stopIfTrue="1" operator="containsText" text="EXCEEDS">
      <formula>NOT(ISERROR(SEARCH("EXCEEDS",C64)))</formula>
    </cfRule>
    <cfRule type="containsText" dxfId="9" priority="12" stopIfTrue="1" operator="containsText" text="OK">
      <formula>NOT(ISERROR(SEARCH("OK",C64)))</formula>
    </cfRule>
  </conditionalFormatting>
  <conditionalFormatting sqref="A66:B67">
    <cfRule type="containsText" dxfId="8" priority="9" stopIfTrue="1" operator="containsText" text="Given">
      <formula>NOT(ISERROR(SEARCH("Given",A66)))</formula>
    </cfRule>
  </conditionalFormatting>
  <conditionalFormatting sqref="C18:H24">
    <cfRule type="expression" dxfId="7" priority="7" stopIfTrue="1">
      <formula>"$J$3=""ng/kg"""</formula>
    </cfRule>
    <cfRule type="expression" dxfId="6" priority="8" stopIfTrue="1">
      <formula>"$J$3=""mg/kg"""</formula>
    </cfRule>
  </conditionalFormatting>
  <conditionalFormatting sqref="C59:H61">
    <cfRule type="expression" dxfId="5" priority="5" stopIfTrue="1">
      <formula>$R$13=2</formula>
    </cfRule>
    <cfRule type="expression" dxfId="4" priority="6" stopIfTrue="1">
      <formula>$R$13=1</formula>
    </cfRule>
  </conditionalFormatting>
  <conditionalFormatting sqref="C48:H57">
    <cfRule type="expression" dxfId="3" priority="3" stopIfTrue="1">
      <formula>$R$13=2</formula>
    </cfRule>
    <cfRule type="expression" dxfId="2" priority="4" stopIfTrue="1">
      <formula>$R$13=1</formula>
    </cfRule>
  </conditionalFormatting>
  <conditionalFormatting sqref="C39:H45">
    <cfRule type="expression" dxfId="1" priority="1" stopIfTrue="1">
      <formula>$R$13=2</formula>
    </cfRule>
    <cfRule type="expression" dxfId="0" priority="2" stopIfTrue="1">
      <formula>$R$13=1</formula>
    </cfRule>
  </conditionalFormatting>
  <dataValidations count="2">
    <dataValidation type="list" allowBlank="1" showInputMessage="1" showErrorMessage="1" promptTitle="Unit" prompt="Select the unit of the Alternative SCTL " sqref="H7">
      <formula1>Units.</formula1>
    </dataValidation>
    <dataValidation type="list" allowBlank="1" showInputMessage="1" showErrorMessage="1" promptTitle="Unit" prompt="Select the unit used" sqref="H8">
      <formula1>Units.</formula1>
    </dataValidation>
  </dataValidations>
  <printOptions horizontalCentered="1"/>
  <pageMargins left="0.5" right="0.5" top="0.5" bottom="0.5" header="0.3" footer="0.3"/>
  <pageSetup scale="52" orientation="landscape" r:id="rId1"/>
  <headerFooter>
    <oddHeader>&amp;LDioxin/Furan Conversion Table&amp;R&amp;8&amp;D</oddHeader>
    <oddFooter>&amp;L&amp;8&amp;F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4" r:id="rId4" name="Group Box 50">
              <controlPr defaultSize="0" autoFill="0" autoPict="0" altText="Choose which year the WHO data comes from">
                <anchor moveWithCells="1">
                  <from>
                    <xdr:col>1</xdr:col>
                    <xdr:colOff>47625</xdr:colOff>
                    <xdr:row>6</xdr:row>
                    <xdr:rowOff>180975</xdr:rowOff>
                  </from>
                  <to>
                    <xdr:col>2</xdr:col>
                    <xdr:colOff>1200150</xdr:colOff>
                    <xdr:row>8</xdr:row>
                    <xdr:rowOff>85725</xdr:rowOff>
                  </to>
                </anchor>
              </controlPr>
            </control>
          </mc:Choice>
        </mc:AlternateContent>
        <mc:AlternateContent xmlns:mc="http://schemas.openxmlformats.org/markup-compatibility/2006">
          <mc:Choice Requires="x14">
            <control shapeId="1082" r:id="rId5" name="Group Box 58">
              <controlPr locked="0" defaultSize="0" autoFill="0" autoPict="0" altText="Concentration units">
                <anchor moveWithCells="1">
                  <from>
                    <xdr:col>1</xdr:col>
                    <xdr:colOff>47625</xdr:colOff>
                    <xdr:row>8</xdr:row>
                    <xdr:rowOff>152400</xdr:rowOff>
                  </from>
                  <to>
                    <xdr:col>2</xdr:col>
                    <xdr:colOff>1219200</xdr:colOff>
                    <xdr:row>10</xdr:row>
                    <xdr:rowOff>57150</xdr:rowOff>
                  </to>
                </anchor>
              </controlPr>
            </control>
          </mc:Choice>
        </mc:AlternateContent>
        <mc:AlternateContent xmlns:mc="http://schemas.openxmlformats.org/markup-compatibility/2006">
          <mc:Choice Requires="x14">
            <control shapeId="1083" r:id="rId6" name="Option Button 59">
              <controlPr locked="0" defaultSize="0" autoFill="0" autoLine="0" autoPict="0">
                <anchor moveWithCells="1">
                  <from>
                    <xdr:col>2</xdr:col>
                    <xdr:colOff>28575</xdr:colOff>
                    <xdr:row>9</xdr:row>
                    <xdr:rowOff>0</xdr:rowOff>
                  </from>
                  <to>
                    <xdr:col>2</xdr:col>
                    <xdr:colOff>981075</xdr:colOff>
                    <xdr:row>10</xdr:row>
                    <xdr:rowOff>28575</xdr:rowOff>
                  </to>
                </anchor>
              </controlPr>
            </control>
          </mc:Choice>
        </mc:AlternateContent>
        <mc:AlternateContent xmlns:mc="http://schemas.openxmlformats.org/markup-compatibility/2006">
          <mc:Choice Requires="x14">
            <control shapeId="1084" r:id="rId7" name="Option Button 60">
              <controlPr locked="0" defaultSize="0" autoFill="0" autoLine="0" autoPict="0">
                <anchor moveWithCells="1">
                  <from>
                    <xdr:col>1</xdr:col>
                    <xdr:colOff>114300</xdr:colOff>
                    <xdr:row>8</xdr:row>
                    <xdr:rowOff>171450</xdr:rowOff>
                  </from>
                  <to>
                    <xdr:col>1</xdr:col>
                    <xdr:colOff>1076325</xdr:colOff>
                    <xdr:row>10</xdr:row>
                    <xdr:rowOff>28575</xdr:rowOff>
                  </to>
                </anchor>
              </controlPr>
            </control>
          </mc:Choice>
        </mc:AlternateContent>
        <mc:AlternateContent xmlns:mc="http://schemas.openxmlformats.org/markup-compatibility/2006">
          <mc:Choice Requires="x14">
            <control shapeId="1098" r:id="rId8" name="Option Button 74">
              <controlPr locked="0" defaultSize="0" autoFill="0" autoLine="0" autoPict="0">
                <anchor moveWithCells="1">
                  <from>
                    <xdr:col>2</xdr:col>
                    <xdr:colOff>28575</xdr:colOff>
                    <xdr:row>6</xdr:row>
                    <xdr:rowOff>200025</xdr:rowOff>
                  </from>
                  <to>
                    <xdr:col>2</xdr:col>
                    <xdr:colOff>1057275</xdr:colOff>
                    <xdr:row>7</xdr:row>
                    <xdr:rowOff>200025</xdr:rowOff>
                  </to>
                </anchor>
              </controlPr>
            </control>
          </mc:Choice>
        </mc:AlternateContent>
        <mc:AlternateContent xmlns:mc="http://schemas.openxmlformats.org/markup-compatibility/2006">
          <mc:Choice Requires="x14">
            <control shapeId="1099" r:id="rId9" name="Option Button 75">
              <controlPr locked="0" defaultSize="0" autoFill="0" autoLine="0" autoPict="0">
                <anchor moveWithCells="1">
                  <from>
                    <xdr:col>1</xdr:col>
                    <xdr:colOff>133350</xdr:colOff>
                    <xdr:row>7</xdr:row>
                    <xdr:rowOff>0</xdr:rowOff>
                  </from>
                  <to>
                    <xdr:col>1</xdr:col>
                    <xdr:colOff>1171575</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24</vt:i4>
      </vt:variant>
    </vt:vector>
  </HeadingPairs>
  <TitlesOfParts>
    <vt:vector size="25" baseType="lpstr">
      <vt:lpstr>Dioxin TEQs</vt:lpstr>
      <vt:lpstr>ASN</vt:lpstr>
      <vt:lpstr>ASR</vt:lpstr>
      <vt:lpstr>AST</vt:lpstr>
      <vt:lpstr>ASU</vt:lpstr>
      <vt:lpstr>BCN</vt:lpstr>
      <vt:lpstr>BCR</vt:lpstr>
      <vt:lpstr>BCT</vt:lpstr>
      <vt:lpstr>BCU</vt:lpstr>
      <vt:lpstr>CASR</vt:lpstr>
      <vt:lpstr>CBCR</vt:lpstr>
      <vt:lpstr>IDEN</vt:lpstr>
      <vt:lpstr>IDER</vt:lpstr>
      <vt:lpstr>IDET</vt:lpstr>
      <vt:lpstr>IDEU</vt:lpstr>
      <vt:lpstr>List.</vt:lpstr>
      <vt:lpstr>'Dioxin TEQs'!Print_Area</vt:lpstr>
      <vt:lpstr>'Dioxin TEQs'!Print_Titles</vt:lpstr>
      <vt:lpstr>RDEN</vt:lpstr>
      <vt:lpstr>RDER</vt:lpstr>
      <vt:lpstr>RDET</vt:lpstr>
      <vt:lpstr>RDEU</vt:lpstr>
      <vt:lpstr>TEQ</vt:lpstr>
      <vt:lpstr>UN</vt:lpstr>
      <vt:lpstr>Units.</vt:lpstr>
    </vt:vector>
  </TitlesOfParts>
  <Company>FDEP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Dioxin/Furan Converison Table</dc:title>
  <dc:creator>BWC/PTS</dc:creator>
  <dc:description>Use to calculate dioxin and furan TEQs.</dc:description>
  <cp:lastModifiedBy>Austin R. Manny</cp:lastModifiedBy>
  <cp:lastPrinted>2016-01-05T15:51:33Z</cp:lastPrinted>
  <dcterms:created xsi:type="dcterms:W3CDTF">2005-04-26T13:22:53Z</dcterms:created>
  <dcterms:modified xsi:type="dcterms:W3CDTF">2017-01-23T22:01:39Z</dcterms:modified>
</cp:coreProperties>
</file>