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C:\Users\Manny_A\Documents\Website\4-Calculators\"/>
    </mc:Choice>
  </mc:AlternateContent>
  <bookViews>
    <workbookView xWindow="0" yWindow="0" windowWidth="28800" windowHeight="14010" activeTab="2"/>
  </bookViews>
  <sheets>
    <sheet name="Instructions" sheetId="6" r:id="rId1"/>
    <sheet name="Leachability" sheetId="4" r:id="rId2"/>
    <sheet name="Direct Exposure" sheetId="5" r:id="rId3"/>
    <sheet name="Data Table" sheetId="3" r:id="rId4"/>
  </sheets>
  <definedNames>
    <definedName name="_xlnm.Print_Area" localSheetId="2">'Direct Exposure'!$A$1:$F$58</definedName>
    <definedName name="_xlnm.Print_Area" localSheetId="0">Instructions!$A$1:$J$22</definedName>
    <definedName name="_xlnm.Print_Area" localSheetId="1">Leachability!$A$1:$F$40</definedName>
    <definedName name="_xlnm.Print_Titles" localSheetId="3">'Data Table'!$A:$B</definedName>
  </definedNames>
  <calcPr calcId="171027"/>
</workbook>
</file>

<file path=xl/calcChain.xml><?xml version="1.0" encoding="utf-8"?>
<calcChain xmlns="http://schemas.openxmlformats.org/spreadsheetml/2006/main">
  <c r="D52" i="5" l="1"/>
  <c r="D23" i="5" s="1"/>
  <c r="D17" i="5" s="1"/>
  <c r="D42" i="5"/>
  <c r="D41" i="5"/>
  <c r="D7" i="5" s="1"/>
  <c r="D43" i="5"/>
  <c r="D40" i="5"/>
  <c r="D8" i="5"/>
  <c r="D10" i="5"/>
  <c r="D9" i="5" s="1"/>
  <c r="D26" i="5"/>
  <c r="D21" i="5"/>
  <c r="D56" i="5"/>
  <c r="D58" i="5"/>
  <c r="D57" i="5"/>
  <c r="D44" i="5"/>
  <c r="D54" i="5"/>
  <c r="D53" i="5"/>
  <c r="D36" i="5"/>
  <c r="D35" i="5"/>
  <c r="D34" i="5"/>
  <c r="D33" i="5"/>
  <c r="D32" i="5"/>
  <c r="D39" i="5"/>
  <c r="D38" i="5"/>
  <c r="D37" i="5"/>
  <c r="D55" i="5"/>
  <c r="D51" i="5"/>
  <c r="D50" i="5"/>
  <c r="D49" i="5"/>
  <c r="D48" i="5"/>
  <c r="D47" i="5"/>
  <c r="D46" i="5"/>
  <c r="D45" i="5"/>
  <c r="D18" i="4"/>
  <c r="D8" i="4"/>
  <c r="D10" i="4"/>
  <c r="D22" i="4"/>
  <c r="D23" i="4"/>
  <c r="D7" i="4" s="1"/>
  <c r="D17" i="4"/>
  <c r="D16" i="4"/>
  <c r="D15" i="4"/>
  <c r="D14" i="4"/>
  <c r="D21" i="4"/>
  <c r="D20" i="4"/>
  <c r="D19" i="4"/>
  <c r="D40" i="4"/>
  <c r="D39" i="4"/>
  <c r="D38" i="4"/>
  <c r="D37" i="4"/>
  <c r="D36" i="4"/>
  <c r="D35" i="4"/>
  <c r="D34" i="4"/>
  <c r="D33" i="4"/>
  <c r="D32" i="4"/>
  <c r="D31" i="4"/>
  <c r="D30" i="4"/>
  <c r="D29" i="4"/>
  <c r="D28" i="4"/>
  <c r="D27" i="4"/>
  <c r="D26" i="4"/>
  <c r="D25" i="4"/>
  <c r="D24" i="4"/>
  <c r="D27" i="5" l="1"/>
  <c r="D11" i="5"/>
  <c r="D12" i="5" s="1"/>
  <c r="D9" i="4"/>
  <c r="D1" i="4"/>
  <c r="D28" i="5"/>
  <c r="D29" i="5"/>
  <c r="D20" i="5"/>
  <c r="D1" i="5" s="1"/>
</calcChain>
</file>

<file path=xl/sharedStrings.xml><?xml version="1.0" encoding="utf-8"?>
<sst xmlns="http://schemas.openxmlformats.org/spreadsheetml/2006/main" count="549" uniqueCount="202">
  <si>
    <t>TR</t>
  </si>
  <si>
    <t>BW</t>
  </si>
  <si>
    <t>AT</t>
  </si>
  <si>
    <t>EF</t>
  </si>
  <si>
    <t>ED</t>
  </si>
  <si>
    <t>FC</t>
  </si>
  <si>
    <t>SA</t>
  </si>
  <si>
    <t>AF</t>
  </si>
  <si>
    <t>DA</t>
  </si>
  <si>
    <t>VF</t>
  </si>
  <si>
    <t>PEF</t>
  </si>
  <si>
    <t>Units</t>
  </si>
  <si>
    <t>none</t>
  </si>
  <si>
    <t>kg</t>
  </si>
  <si>
    <t>days</t>
  </si>
  <si>
    <t>years</t>
  </si>
  <si>
    <t>mg/day</t>
  </si>
  <si>
    <t>Q/C</t>
  </si>
  <si>
    <t>CF</t>
  </si>
  <si>
    <t>T</t>
  </si>
  <si>
    <t>s</t>
  </si>
  <si>
    <t>H</t>
  </si>
  <si>
    <t>H'</t>
  </si>
  <si>
    <t>g/g</t>
  </si>
  <si>
    <t>L/kg</t>
  </si>
  <si>
    <t>SCTL</t>
  </si>
  <si>
    <t>mg/kg</t>
  </si>
  <si>
    <r>
      <t>mg/cm</t>
    </r>
    <r>
      <rPr>
        <vertAlign val="superscript"/>
        <sz val="10"/>
        <rFont val="Arial"/>
        <family val="2"/>
      </rPr>
      <t>2</t>
    </r>
  </si>
  <si>
    <r>
      <t>K</t>
    </r>
    <r>
      <rPr>
        <vertAlign val="subscript"/>
        <sz val="10"/>
        <rFont val="Arial"/>
        <family val="2"/>
      </rPr>
      <t>d</t>
    </r>
  </si>
  <si>
    <t>GCTL</t>
  </si>
  <si>
    <r>
      <t>g/cm</t>
    </r>
    <r>
      <rPr>
        <vertAlign val="superscript"/>
        <sz val="10"/>
        <rFont val="Arial"/>
        <family val="2"/>
      </rPr>
      <t>3</t>
    </r>
  </si>
  <si>
    <r>
      <t>m</t>
    </r>
    <r>
      <rPr>
        <vertAlign val="superscript"/>
        <sz val="10"/>
        <rFont val="Arial"/>
        <family val="2"/>
      </rPr>
      <t>3</t>
    </r>
    <r>
      <rPr>
        <sz val="10"/>
        <rFont val="Arial"/>
        <family val="2"/>
      </rPr>
      <t>/kg</t>
    </r>
  </si>
  <si>
    <t>Acenaphthene</t>
  </si>
  <si>
    <t>Acenaphthylene</t>
  </si>
  <si>
    <t>Anthracene</t>
  </si>
  <si>
    <t>Benzo(a)anthracene</t>
  </si>
  <si>
    <t>Benzo(a)pyrene</t>
  </si>
  <si>
    <t>Benzo(b)fluoranthene</t>
  </si>
  <si>
    <t>Benzo(g,h,I)perylene</t>
  </si>
  <si>
    <t>Benzo(k)fluoranthene</t>
  </si>
  <si>
    <t>Chrysene</t>
  </si>
  <si>
    <t>Dibenz(a,h)anthracene</t>
  </si>
  <si>
    <t>Fluoranthene</t>
  </si>
  <si>
    <t>Fluorene</t>
  </si>
  <si>
    <t>Indeno(1,2,3-cd)pyrene</t>
  </si>
  <si>
    <t>Methylnaphthalene, 1-</t>
  </si>
  <si>
    <t>Methylnaphthalene, 2-</t>
  </si>
  <si>
    <t>Naphthalene</t>
  </si>
  <si>
    <t>Phenanthrene</t>
  </si>
  <si>
    <t>Pyrene</t>
  </si>
  <si>
    <t>Benzene</t>
  </si>
  <si>
    <t>Ethylbenzene</t>
  </si>
  <si>
    <t>Toluene</t>
  </si>
  <si>
    <t>Xylenes, total</t>
  </si>
  <si>
    <t>Dibromoethane, 1,2-(EDB)</t>
  </si>
  <si>
    <t>Dichloroethane, 1,2-</t>
  </si>
  <si>
    <t>MTBE</t>
  </si>
  <si>
    <t>TRPHs</t>
  </si>
  <si>
    <t>Arsenic</t>
  </si>
  <si>
    <t>Cadmium</t>
  </si>
  <si>
    <t>Chromium (hexavalent)</t>
  </si>
  <si>
    <t>Chromium (total)</t>
  </si>
  <si>
    <t>Chromium (trivalent)</t>
  </si>
  <si>
    <t>Lead</t>
  </si>
  <si>
    <t>Contaminant of Concern</t>
  </si>
  <si>
    <t>Direct Exposure (Residential) (mg/kg)</t>
  </si>
  <si>
    <t>Direct Exposure Commercial/Industrial (mg/kg)</t>
  </si>
  <si>
    <t>Leachability Based on Groundwater Criteria (mg/kg)</t>
  </si>
  <si>
    <t>Leachability Based on Low Yield/Poor Quality Criteria (mg/kg)</t>
  </si>
  <si>
    <t>NA</t>
  </si>
  <si>
    <t>SPLP</t>
  </si>
  <si>
    <r>
      <t>Melting Point (MP)    (</t>
    </r>
    <r>
      <rPr>
        <b/>
        <vertAlign val="superscript"/>
        <sz val="10"/>
        <rFont val="Arial"/>
        <family val="2"/>
      </rPr>
      <t>o</t>
    </r>
    <r>
      <rPr>
        <b/>
        <sz val="10"/>
        <rFont val="Arial"/>
        <family val="2"/>
      </rPr>
      <t>C)</t>
    </r>
  </si>
  <si>
    <r>
      <t>Density (d) (g/cm</t>
    </r>
    <r>
      <rPr>
        <b/>
        <vertAlign val="superscript"/>
        <sz val="10"/>
        <rFont val="Arial"/>
        <family val="2"/>
      </rPr>
      <t>3</t>
    </r>
    <r>
      <rPr>
        <b/>
        <sz val="10"/>
        <rFont val="Arial"/>
        <family val="2"/>
      </rPr>
      <t>)</t>
    </r>
  </si>
  <si>
    <t>Water Solubility (S) (mg/L)</t>
  </si>
  <si>
    <t>Organic Carbon Normalized Soil-water partition coefficient for organic compounds (Koc) (L/kg)</t>
  </si>
  <si>
    <r>
      <t>Henry's Law Constant (HLC) (atm-m</t>
    </r>
    <r>
      <rPr>
        <b/>
        <vertAlign val="superscript"/>
        <sz val="10"/>
        <rFont val="Arial"/>
        <family val="2"/>
      </rPr>
      <t>3</t>
    </r>
    <r>
      <rPr>
        <b/>
        <sz val="10"/>
        <rFont val="Arial"/>
        <family val="2"/>
      </rPr>
      <t>/mol)</t>
    </r>
  </si>
  <si>
    <r>
      <t>Diffusivity in air (Di) (cm</t>
    </r>
    <r>
      <rPr>
        <b/>
        <vertAlign val="superscript"/>
        <sz val="10"/>
        <rFont val="Arial"/>
        <family val="2"/>
      </rPr>
      <t>2</t>
    </r>
    <r>
      <rPr>
        <b/>
        <sz val="10"/>
        <rFont val="Arial"/>
        <family val="2"/>
      </rPr>
      <t>/s)</t>
    </r>
  </si>
  <si>
    <r>
      <t>Diffusivity in water (Dw) (cm</t>
    </r>
    <r>
      <rPr>
        <b/>
        <vertAlign val="superscript"/>
        <sz val="10"/>
        <rFont val="Arial"/>
        <family val="2"/>
      </rPr>
      <t>2</t>
    </r>
    <r>
      <rPr>
        <b/>
        <sz val="10"/>
        <rFont val="Arial"/>
        <family val="2"/>
      </rPr>
      <t>/s)</t>
    </r>
  </si>
  <si>
    <r>
      <t>Apparent Diffusivity (Da) (cm</t>
    </r>
    <r>
      <rPr>
        <b/>
        <vertAlign val="superscript"/>
        <sz val="10"/>
        <rFont val="Arial"/>
        <family val="2"/>
      </rPr>
      <t>2</t>
    </r>
    <r>
      <rPr>
        <b/>
        <sz val="10"/>
        <rFont val="Arial"/>
        <family val="2"/>
      </rPr>
      <t>/s)</t>
    </r>
  </si>
  <si>
    <r>
      <t>Resident Volatilization Factor (VF) (m</t>
    </r>
    <r>
      <rPr>
        <b/>
        <vertAlign val="superscript"/>
        <sz val="10"/>
        <rFont val="Arial"/>
        <family val="2"/>
      </rPr>
      <t>3</t>
    </r>
    <r>
      <rPr>
        <b/>
        <sz val="10"/>
        <rFont val="Arial"/>
        <family val="2"/>
      </rPr>
      <t>/kg)</t>
    </r>
  </si>
  <si>
    <r>
      <t>Child Volatilization Factor (VF) (m</t>
    </r>
    <r>
      <rPr>
        <b/>
        <vertAlign val="superscript"/>
        <sz val="10"/>
        <rFont val="Arial"/>
        <family val="2"/>
      </rPr>
      <t>3</t>
    </r>
    <r>
      <rPr>
        <b/>
        <sz val="10"/>
        <rFont val="Arial"/>
        <family val="2"/>
      </rPr>
      <t>/kg)</t>
    </r>
  </si>
  <si>
    <r>
      <t>Worker Volatilization Factor (VF) (m</t>
    </r>
    <r>
      <rPr>
        <b/>
        <vertAlign val="superscript"/>
        <sz val="10"/>
        <rFont val="Arial"/>
        <family val="2"/>
      </rPr>
      <t>3</t>
    </r>
    <r>
      <rPr>
        <b/>
        <sz val="10"/>
        <rFont val="Arial"/>
        <family val="2"/>
      </rPr>
      <t>/kg)</t>
    </r>
  </si>
  <si>
    <t>GI Absorption</t>
  </si>
  <si>
    <t>Cancer Class</t>
  </si>
  <si>
    <t>A</t>
  </si>
  <si>
    <t>B1</t>
  </si>
  <si>
    <t>B2</t>
  </si>
  <si>
    <t>D</t>
  </si>
  <si>
    <r>
      <t>RfC (mg/m</t>
    </r>
    <r>
      <rPr>
        <b/>
        <vertAlign val="superscript"/>
        <sz val="10"/>
        <rFont val="Arial"/>
        <family val="2"/>
      </rPr>
      <t>3</t>
    </r>
    <r>
      <rPr>
        <b/>
        <sz val="10"/>
        <rFont val="Arial"/>
        <family val="2"/>
      </rPr>
      <t>)</t>
    </r>
  </si>
  <si>
    <t>RfDo (mg/kg-day)</t>
  </si>
  <si>
    <t>RfDd (mg/kg-day)</t>
  </si>
  <si>
    <t>RfDi (mg/kg-day)</t>
  </si>
  <si>
    <r>
      <t>CSF</t>
    </r>
    <r>
      <rPr>
        <b/>
        <vertAlign val="subscript"/>
        <sz val="10"/>
        <color indexed="10"/>
        <rFont val="Arial"/>
        <family val="2"/>
      </rPr>
      <t xml:space="preserve">d </t>
    </r>
    <r>
      <rPr>
        <b/>
        <sz val="10"/>
        <color indexed="10"/>
        <rFont val="Arial"/>
        <family val="2"/>
      </rPr>
      <t>1/(mg/kg-day)</t>
    </r>
  </si>
  <si>
    <r>
      <t>CSF</t>
    </r>
    <r>
      <rPr>
        <b/>
        <vertAlign val="subscript"/>
        <sz val="10"/>
        <color indexed="10"/>
        <rFont val="Arial"/>
        <family val="2"/>
      </rPr>
      <t xml:space="preserve">i </t>
    </r>
    <r>
      <rPr>
        <b/>
        <sz val="10"/>
        <color indexed="10"/>
        <rFont val="Arial"/>
        <family val="2"/>
      </rPr>
      <t>1/(mg/kg-day)</t>
    </r>
  </si>
  <si>
    <r>
      <t>CSF</t>
    </r>
    <r>
      <rPr>
        <b/>
        <vertAlign val="subscript"/>
        <sz val="10"/>
        <color indexed="10"/>
        <rFont val="Arial"/>
        <family val="2"/>
      </rPr>
      <t xml:space="preserve">o </t>
    </r>
    <r>
      <rPr>
        <b/>
        <sz val="10"/>
        <color indexed="10"/>
        <rFont val="Arial"/>
        <family val="2"/>
      </rPr>
      <t>1/(mg/kg-day)</t>
    </r>
  </si>
  <si>
    <r>
      <t>IUR 1/(ug/m</t>
    </r>
    <r>
      <rPr>
        <b/>
        <vertAlign val="superscript"/>
        <sz val="10"/>
        <color indexed="10"/>
        <rFont val="Arial"/>
        <family val="2"/>
      </rPr>
      <t>3</t>
    </r>
    <r>
      <rPr>
        <b/>
        <sz val="10"/>
        <color indexed="10"/>
        <rFont val="Arial"/>
        <family val="2"/>
      </rPr>
      <t xml:space="preserve">)  </t>
    </r>
    <r>
      <rPr>
        <b/>
        <sz val="10"/>
        <rFont val="Arial"/>
        <family val="2"/>
      </rPr>
      <t/>
    </r>
  </si>
  <si>
    <t>Groundwater Cleanup Target Level (GCTL) (ug/L)</t>
  </si>
  <si>
    <t>η</t>
  </si>
  <si>
    <t>User entry</t>
  </si>
  <si>
    <t>User entry dependent</t>
  </si>
  <si>
    <t>Constant</t>
  </si>
  <si>
    <r>
      <t>ρ</t>
    </r>
    <r>
      <rPr>
        <vertAlign val="subscript"/>
        <sz val="10"/>
        <rFont val="Arial"/>
        <family val="2"/>
      </rPr>
      <t>s</t>
    </r>
  </si>
  <si>
    <r>
      <t>Soil particle density ρ</t>
    </r>
    <r>
      <rPr>
        <vertAlign val="subscript"/>
        <sz val="10"/>
        <rFont val="Arial"/>
        <family val="2"/>
      </rPr>
      <t xml:space="preserve">s </t>
    </r>
    <r>
      <rPr>
        <sz val="10"/>
        <rFont val="Arial"/>
        <family val="2"/>
      </rPr>
      <t>(g/cm3)</t>
    </r>
  </si>
  <si>
    <t>Conversion factor (mg/ug)</t>
  </si>
  <si>
    <t>Dilution Attenuation Factor (DAF)</t>
  </si>
  <si>
    <t>Sym.</t>
  </si>
  <si>
    <t>ω</t>
  </si>
  <si>
    <r>
      <t>f</t>
    </r>
    <r>
      <rPr>
        <vertAlign val="subscript"/>
        <sz val="10"/>
        <rFont val="Arial"/>
        <family val="2"/>
      </rPr>
      <t>oc</t>
    </r>
  </si>
  <si>
    <r>
      <t>ρ</t>
    </r>
    <r>
      <rPr>
        <vertAlign val="subscript"/>
        <sz val="10"/>
        <rFont val="Arial"/>
        <family val="2"/>
      </rPr>
      <t>b</t>
    </r>
  </si>
  <si>
    <t>%</t>
  </si>
  <si>
    <t>Average soil moisture content</t>
  </si>
  <si>
    <t>Fraction organic carbon in soil</t>
  </si>
  <si>
    <t>Dry soil bulk density</t>
  </si>
  <si>
    <t>Water-filled soil porosity</t>
  </si>
  <si>
    <t>Air-filled soil porosity</t>
  </si>
  <si>
    <t>Henry's Law constant</t>
  </si>
  <si>
    <t>Total soil porosity</t>
  </si>
  <si>
    <r>
      <t>θ</t>
    </r>
    <r>
      <rPr>
        <vertAlign val="subscript"/>
        <sz val="10"/>
        <rFont val="Arial"/>
        <family val="2"/>
      </rPr>
      <t>w</t>
    </r>
  </si>
  <si>
    <r>
      <t>θ</t>
    </r>
    <r>
      <rPr>
        <vertAlign val="subscript"/>
        <sz val="10"/>
        <rFont val="Arial"/>
        <family val="2"/>
      </rPr>
      <t>a</t>
    </r>
  </si>
  <si>
    <t>DAF</t>
  </si>
  <si>
    <t>mg/μg</t>
  </si>
  <si>
    <t>μg/L</t>
  </si>
  <si>
    <r>
      <t>(</t>
    </r>
    <r>
      <rPr>
        <vertAlign val="superscript"/>
        <sz val="10"/>
        <rFont val="Arial"/>
        <family val="2"/>
      </rPr>
      <t>o</t>
    </r>
    <r>
      <rPr>
        <sz val="10"/>
        <rFont val="Arial"/>
        <family val="2"/>
      </rPr>
      <t>C)</t>
    </r>
  </si>
  <si>
    <t>Groundwater Cleanup Target Level</t>
  </si>
  <si>
    <t xml:space="preserve">Direct Exposure SCTL (Residential) </t>
  </si>
  <si>
    <t>Direct Exposure SCTL Commercial/Industrial</t>
  </si>
  <si>
    <t>Leachability Based on Groundwater Criteria</t>
  </si>
  <si>
    <t>Leachability Based on Low Yield/Poor Quality Criteria</t>
  </si>
  <si>
    <t>MP</t>
  </si>
  <si>
    <t>Melting Point</t>
  </si>
  <si>
    <t>d</t>
  </si>
  <si>
    <t>Density</t>
  </si>
  <si>
    <t>S</t>
  </si>
  <si>
    <t>mg/L</t>
  </si>
  <si>
    <t>Water solubility</t>
  </si>
  <si>
    <r>
      <t>K</t>
    </r>
    <r>
      <rPr>
        <vertAlign val="subscript"/>
        <sz val="10"/>
        <rFont val="Arial"/>
        <family val="2"/>
      </rPr>
      <t>oc</t>
    </r>
  </si>
  <si>
    <t>Organic carbon coefficient</t>
  </si>
  <si>
    <r>
      <t>D</t>
    </r>
    <r>
      <rPr>
        <vertAlign val="subscript"/>
        <sz val="10"/>
        <rFont val="Arial"/>
        <family val="2"/>
      </rPr>
      <t>i</t>
    </r>
  </si>
  <si>
    <r>
      <t>D</t>
    </r>
    <r>
      <rPr>
        <vertAlign val="subscript"/>
        <sz val="10"/>
        <rFont val="Arial"/>
        <family val="2"/>
      </rPr>
      <t>w</t>
    </r>
  </si>
  <si>
    <r>
      <t>cm</t>
    </r>
    <r>
      <rPr>
        <vertAlign val="superscript"/>
        <sz val="10"/>
        <rFont val="Arial"/>
        <family val="2"/>
      </rPr>
      <t>2</t>
    </r>
    <r>
      <rPr>
        <sz val="10"/>
        <rFont val="Arial"/>
        <family val="2"/>
      </rPr>
      <t>/s</t>
    </r>
  </si>
  <si>
    <t>1/(mg/kg-day)</t>
  </si>
  <si>
    <r>
      <t>1/(μg/m</t>
    </r>
    <r>
      <rPr>
        <vertAlign val="superscript"/>
        <sz val="10"/>
        <rFont val="Arial"/>
        <family val="2"/>
      </rPr>
      <t>3</t>
    </r>
    <r>
      <rPr>
        <sz val="10"/>
        <rFont val="Arial"/>
        <family val="2"/>
      </rPr>
      <t>)</t>
    </r>
  </si>
  <si>
    <r>
      <t>mg/m</t>
    </r>
    <r>
      <rPr>
        <vertAlign val="superscript"/>
        <sz val="10"/>
        <rFont val="Arial"/>
        <family val="2"/>
      </rPr>
      <t>3</t>
    </r>
  </si>
  <si>
    <t>mg/kg-day</t>
  </si>
  <si>
    <r>
      <t>atm-m</t>
    </r>
    <r>
      <rPr>
        <vertAlign val="superscript"/>
        <sz val="10"/>
        <rFont val="Arial"/>
        <family val="2"/>
      </rPr>
      <t>3</t>
    </r>
    <r>
      <rPr>
        <sz val="10"/>
        <rFont val="Arial"/>
        <family val="2"/>
      </rPr>
      <t>/mol</t>
    </r>
  </si>
  <si>
    <r>
      <t>D</t>
    </r>
    <r>
      <rPr>
        <vertAlign val="subscript"/>
        <sz val="10"/>
        <rFont val="Arial"/>
        <family val="2"/>
      </rPr>
      <t>a</t>
    </r>
  </si>
  <si>
    <t>Diffusivity in air</t>
  </si>
  <si>
    <t>Diffusivity in water</t>
  </si>
  <si>
    <t>Soil-water Organic Partition Coefficient (Kd) (L/kg)</t>
  </si>
  <si>
    <t>Resident volatilization factor</t>
  </si>
  <si>
    <t>Soil-water organic partition coef.</t>
  </si>
  <si>
    <t>Apparent diffusivity</t>
  </si>
  <si>
    <t>Child volatilization factor</t>
  </si>
  <si>
    <t>Worker volatilization factor</t>
  </si>
  <si>
    <t>IUR</t>
  </si>
  <si>
    <t>RfC</t>
  </si>
  <si>
    <r>
      <t>CSF</t>
    </r>
    <r>
      <rPr>
        <vertAlign val="subscript"/>
        <sz val="10"/>
        <rFont val="Arial"/>
        <family val="2"/>
      </rPr>
      <t>o</t>
    </r>
  </si>
  <si>
    <r>
      <t>CSF</t>
    </r>
    <r>
      <rPr>
        <vertAlign val="subscript"/>
        <sz val="10"/>
        <rFont val="Arial"/>
        <family val="2"/>
      </rPr>
      <t>i</t>
    </r>
  </si>
  <si>
    <r>
      <t>CSF</t>
    </r>
    <r>
      <rPr>
        <vertAlign val="subscript"/>
        <sz val="10"/>
        <rFont val="Arial"/>
        <family val="2"/>
      </rPr>
      <t>d</t>
    </r>
  </si>
  <si>
    <t>Oral Cancer Slope Factor</t>
  </si>
  <si>
    <t>Inhalation Cancer Slope Factor</t>
  </si>
  <si>
    <t>Dermal Cancer Slope Factor</t>
  </si>
  <si>
    <r>
      <t>RfD</t>
    </r>
    <r>
      <rPr>
        <vertAlign val="subscript"/>
        <sz val="10"/>
        <rFont val="Arial"/>
        <family val="2"/>
      </rPr>
      <t>o</t>
    </r>
  </si>
  <si>
    <r>
      <t>RfD</t>
    </r>
    <r>
      <rPr>
        <vertAlign val="subscript"/>
        <sz val="10"/>
        <rFont val="Arial"/>
        <family val="2"/>
      </rPr>
      <t>i</t>
    </r>
  </si>
  <si>
    <r>
      <t>RfD</t>
    </r>
    <r>
      <rPr>
        <vertAlign val="subscript"/>
        <sz val="10"/>
        <rFont val="Arial"/>
        <family val="2"/>
      </rPr>
      <t>d</t>
    </r>
  </si>
  <si>
    <t>Oral Reference Dose</t>
  </si>
  <si>
    <t>Inhalation Reference Dose</t>
  </si>
  <si>
    <t>Dermal Reference Dose</t>
  </si>
  <si>
    <t>Inhalation unit risk</t>
  </si>
  <si>
    <t>Reference concentration</t>
  </si>
  <si>
    <t>Chemical dependent</t>
  </si>
  <si>
    <t>New SCTL</t>
  </si>
  <si>
    <t>Inverse of the mean concentration</t>
  </si>
  <si>
    <r>
      <t>g/m</t>
    </r>
    <r>
      <rPr>
        <vertAlign val="superscript"/>
        <sz val="10"/>
        <rFont val="Arial"/>
        <family val="2"/>
      </rPr>
      <t>2</t>
    </r>
    <r>
      <rPr>
        <sz val="10"/>
        <rFont val="Arial"/>
        <family val="2"/>
      </rPr>
      <t>-s/kg/m</t>
    </r>
    <r>
      <rPr>
        <vertAlign val="superscript"/>
        <sz val="10"/>
        <rFont val="Arial"/>
        <family val="2"/>
      </rPr>
      <t>3</t>
    </r>
  </si>
  <si>
    <t>Exposure interval</t>
  </si>
  <si>
    <t>Volatilization factor</t>
  </si>
  <si>
    <r>
      <t>D</t>
    </r>
    <r>
      <rPr>
        <vertAlign val="subscript"/>
        <sz val="10"/>
        <rFont val="Arial"/>
        <family val="2"/>
      </rPr>
      <t>A</t>
    </r>
  </si>
  <si>
    <t>Dilution attenuation factor (DAF)</t>
  </si>
  <si>
    <t>Target hazard index</t>
  </si>
  <si>
    <t>THI</t>
  </si>
  <si>
    <t>Target cancer risk</t>
  </si>
  <si>
    <t>Body weight</t>
  </si>
  <si>
    <t>Averaging time</t>
  </si>
  <si>
    <t>Exposure frequency</t>
  </si>
  <si>
    <t>days/yr</t>
  </si>
  <si>
    <t>Exposure duration</t>
  </si>
  <si>
    <t>Relative bioavailability factor</t>
  </si>
  <si>
    <t>RBA</t>
  </si>
  <si>
    <t>Fraction from contaminated source</t>
  </si>
  <si>
    <t>unitless</t>
  </si>
  <si>
    <t>Oral ingestion rate</t>
  </si>
  <si>
    <t>Inhalation rate</t>
  </si>
  <si>
    <r>
      <t>Ir</t>
    </r>
    <r>
      <rPr>
        <vertAlign val="subscript"/>
        <sz val="10"/>
        <rFont val="Arial"/>
        <family val="2"/>
      </rPr>
      <t>o</t>
    </r>
  </si>
  <si>
    <r>
      <t>Ir</t>
    </r>
    <r>
      <rPr>
        <vertAlign val="subscript"/>
        <sz val="10"/>
        <rFont val="Arial"/>
        <family val="2"/>
      </rPr>
      <t>i</t>
    </r>
  </si>
  <si>
    <t>Adherence factor</t>
  </si>
  <si>
    <t>Surface area of skin exposed</t>
  </si>
  <si>
    <r>
      <t>cm</t>
    </r>
    <r>
      <rPr>
        <vertAlign val="superscript"/>
        <sz val="10"/>
        <rFont val="Arial"/>
        <family val="2"/>
      </rPr>
      <t>2</t>
    </r>
    <r>
      <rPr>
        <sz val="10"/>
        <rFont val="Arial"/>
        <family val="2"/>
      </rPr>
      <t>/day</t>
    </r>
  </si>
  <si>
    <t>Dermal absorption</t>
  </si>
  <si>
    <t>Particulate emmision factor</t>
  </si>
  <si>
    <t>Default</t>
  </si>
  <si>
    <t>C</t>
  </si>
  <si>
    <t>Instructions for Using Alternative Soil Cleanup Target Level Calculation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</si>
</sst>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E+00"/>
    <numFmt numFmtId="165" formatCode="0.0000E+00"/>
  </numFmts>
  <fonts count="13" x14ac:knownFonts="1">
    <font>
      <sz val="10"/>
      <name val="Arial"/>
    </font>
    <font>
      <sz val="10"/>
      <name val="Arial"/>
    </font>
    <font>
      <sz val="10"/>
      <color indexed="10"/>
      <name val="Arial"/>
      <family val="2"/>
    </font>
    <font>
      <sz val="10"/>
      <name val="Arial"/>
      <family val="2"/>
    </font>
    <font>
      <b/>
      <sz val="10"/>
      <name val="Arial"/>
      <family val="2"/>
    </font>
    <font>
      <vertAlign val="superscript"/>
      <sz val="10"/>
      <name val="Arial"/>
      <family val="2"/>
    </font>
    <font>
      <vertAlign val="subscript"/>
      <sz val="10"/>
      <name val="Arial"/>
      <family val="2"/>
    </font>
    <font>
      <b/>
      <vertAlign val="superscript"/>
      <sz val="10"/>
      <name val="Arial"/>
      <family val="2"/>
    </font>
    <font>
      <b/>
      <sz val="10"/>
      <color indexed="10"/>
      <name val="Arial"/>
      <family val="2"/>
    </font>
    <font>
      <b/>
      <vertAlign val="superscript"/>
      <sz val="10"/>
      <color indexed="10"/>
      <name val="Arial"/>
      <family val="2"/>
    </font>
    <font>
      <b/>
      <vertAlign val="subscript"/>
      <sz val="10"/>
      <color indexed="10"/>
      <name val="Arial"/>
      <family val="2"/>
    </font>
    <font>
      <sz val="10"/>
      <color indexed="12"/>
      <name val="Arial"/>
      <family val="2"/>
    </font>
    <font>
      <sz val="8"/>
      <name val="Arial"/>
    </font>
  </fonts>
  <fills count="3">
    <fill>
      <patternFill patternType="none"/>
    </fill>
    <fill>
      <patternFill patternType="gray125"/>
    </fill>
    <fill>
      <patternFill patternType="solid">
        <fgColor indexed="13"/>
        <bgColor indexed="64"/>
      </patternFill>
    </fill>
  </fills>
  <borders count="4">
    <border>
      <left/>
      <right/>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s>
  <cellStyleXfs count="1">
    <xf numFmtId="0" fontId="0" fillId="0" borderId="0"/>
  </cellStyleXfs>
  <cellXfs count="51">
    <xf numFmtId="0" fontId="0" fillId="0" borderId="0" xfId="0"/>
    <xf numFmtId="0" fontId="0" fillId="0" borderId="1" xfId="0" applyBorder="1"/>
    <xf numFmtId="0" fontId="0" fillId="0" borderId="2" xfId="0" applyBorder="1"/>
    <xf numFmtId="0" fontId="0" fillId="0" borderId="0" xfId="0" applyBorder="1"/>
    <xf numFmtId="0" fontId="4" fillId="0" borderId="0" xfId="0" applyFont="1" applyAlignment="1">
      <alignment horizontal="center" wrapText="1"/>
    </xf>
    <xf numFmtId="0" fontId="0" fillId="0" borderId="0" xfId="0" applyAlignment="1">
      <alignment horizontal="center"/>
    </xf>
    <xf numFmtId="11" fontId="0" fillId="0" borderId="0" xfId="0" applyNumberFormat="1" applyAlignment="1">
      <alignment horizontal="center"/>
    </xf>
    <xf numFmtId="164" fontId="0" fillId="0" borderId="0" xfId="0" applyNumberFormat="1" applyAlignment="1">
      <alignment horizontal="center"/>
    </xf>
    <xf numFmtId="0" fontId="4" fillId="0" borderId="2" xfId="0" applyFont="1" applyBorder="1" applyAlignment="1">
      <alignment horizontal="center" wrapText="1"/>
    </xf>
    <xf numFmtId="0" fontId="0" fillId="0" borderId="2" xfId="0" applyBorder="1" applyAlignment="1">
      <alignment horizontal="center"/>
    </xf>
    <xf numFmtId="164" fontId="0" fillId="0" borderId="0" xfId="0" applyNumberFormat="1"/>
    <xf numFmtId="0" fontId="2" fillId="0" borderId="2" xfId="0" applyFont="1" applyBorder="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3" fillId="0" borderId="2" xfId="0" applyFont="1" applyBorder="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164" fontId="8" fillId="0" borderId="0" xfId="0" applyNumberFormat="1" applyFont="1" applyAlignment="1">
      <alignment horizontal="center" wrapText="1"/>
    </xf>
    <xf numFmtId="0" fontId="0" fillId="0" borderId="0" xfId="0" applyBorder="1" applyAlignment="1">
      <alignment horizontal="center"/>
    </xf>
    <xf numFmtId="164" fontId="0" fillId="0" borderId="0" xfId="0" applyNumberFormat="1" applyBorder="1" applyAlignment="1">
      <alignment horizontal="center"/>
    </xf>
    <xf numFmtId="164" fontId="4" fillId="0" borderId="0" xfId="0" applyNumberFormat="1" applyFont="1" applyAlignment="1">
      <alignment horizontal="center" wrapText="1"/>
    </xf>
    <xf numFmtId="164" fontId="11" fillId="0" borderId="0" xfId="0" applyNumberFormat="1" applyFont="1" applyAlignment="1">
      <alignment horizontal="center"/>
    </xf>
    <xf numFmtId="0" fontId="4" fillId="0" borderId="3" xfId="0" applyFont="1" applyBorder="1" applyAlignment="1">
      <alignment horizontal="center" wrapText="1"/>
    </xf>
    <xf numFmtId="0" fontId="0" fillId="0" borderId="3" xfId="0" applyBorder="1" applyAlignment="1">
      <alignment horizontal="center"/>
    </xf>
    <xf numFmtId="0" fontId="0" fillId="0" borderId="3" xfId="0" applyBorder="1"/>
    <xf numFmtId="0" fontId="0" fillId="0" borderId="0" xfId="0" applyAlignment="1">
      <alignment horizontal="left"/>
    </xf>
    <xf numFmtId="0" fontId="3" fillId="0" borderId="0" xfId="0" applyFont="1" applyAlignment="1">
      <alignment horizontal="left" wrapText="1"/>
    </xf>
    <xf numFmtId="0" fontId="3" fillId="0" borderId="2" xfId="0" applyFont="1" applyBorder="1" applyAlignment="1">
      <alignment horizontal="left" wrapText="1"/>
    </xf>
    <xf numFmtId="164" fontId="2" fillId="0" borderId="0" xfId="0" applyNumberFormat="1" applyFont="1" applyAlignment="1">
      <alignment horizontal="left" wrapText="1"/>
    </xf>
    <xf numFmtId="0" fontId="0" fillId="0" borderId="0" xfId="0" applyAlignment="1">
      <alignment horizontal="center" vertical="center"/>
    </xf>
    <xf numFmtId="164" fontId="11" fillId="0" borderId="0" xfId="0" applyNumberFormat="1" applyFont="1" applyAlignment="1">
      <alignment horizontal="left" wrapText="1"/>
    </xf>
    <xf numFmtId="0" fontId="4" fillId="2" borderId="0" xfId="0" applyFont="1" applyFill="1"/>
    <xf numFmtId="0" fontId="3" fillId="2" borderId="0" xfId="0" applyFont="1" applyFill="1"/>
    <xf numFmtId="0" fontId="3" fillId="0" borderId="0" xfId="0" applyFont="1" applyFill="1"/>
    <xf numFmtId="0" fontId="3" fillId="0" borderId="0" xfId="0" applyFont="1" applyBorder="1" applyAlignment="1">
      <alignment horizontal="left" wrapText="1"/>
    </xf>
    <xf numFmtId="164" fontId="3" fillId="0" borderId="0" xfId="0" applyNumberFormat="1" applyFont="1" applyAlignment="1">
      <alignment horizontal="left" wrapText="1"/>
    </xf>
    <xf numFmtId="0" fontId="3" fillId="0" borderId="1" xfId="0" applyFont="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3" fillId="0" borderId="1" xfId="0" applyFont="1" applyFill="1" applyBorder="1"/>
    <xf numFmtId="0" fontId="0" fillId="0" borderId="1" xfId="0" applyBorder="1" applyAlignment="1">
      <alignment horizontal="left"/>
    </xf>
    <xf numFmtId="0" fontId="4" fillId="0" borderId="0" xfId="0" applyFont="1" applyFill="1"/>
    <xf numFmtId="0" fontId="3" fillId="0" borderId="0" xfId="0" applyFont="1" applyFill="1" applyBorder="1"/>
    <xf numFmtId="165" fontId="0" fillId="0" borderId="0" xfId="0" applyNumberFormat="1" applyAlignment="1">
      <alignment horizontal="center"/>
    </xf>
    <xf numFmtId="0" fontId="4" fillId="0" borderId="0" xfId="0" applyFont="1" applyBorder="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1" xfId="0" applyBorder="1" applyAlignment="1" applyProtection="1">
      <alignment horizontal="center"/>
      <protection locked="0"/>
    </xf>
    <xf numFmtId="0" fontId="0" fillId="0" borderId="0" xfId="0" applyAlignment="1">
      <alignment horizontal="center" vertical="top"/>
    </xf>
    <xf numFmtId="0" fontId="1" fillId="0" borderId="0" xfId="0" applyFont="1" applyAlignment="1">
      <alignment horizontal="left" vertical="top"/>
    </xf>
    <xf numFmtId="0" fontId="4"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Link="$E$3" fmlaRange="'Data Table'!$B$2:$B$33" noThreeD="1" sel="19" val="16"/>
</file>

<file path=xl/ctrlProps/ctrlProp2.xml><?xml version="1.0" encoding="utf-8"?>
<formControlPr xmlns="http://schemas.microsoft.com/office/spreadsheetml/2009/9/main" objectType="Drop" dropStyle="combo" dx="22" fmlaLink="$E$3" fmlaRange="'Data Table'!$B$2:$B$33" noThreeD="1" sel="19" val="13"/>
</file>

<file path=xl/drawings/drawing1.xml><?xml version="1.0" encoding="utf-8"?>
<xdr:wsDr xmlns:xdr="http://schemas.openxmlformats.org/drawingml/2006/spreadsheetDrawing" xmlns:a="http://schemas.openxmlformats.org/drawingml/2006/main">
  <xdr:twoCellAnchor>
    <xdr:from>
      <xdr:col>0</xdr:col>
      <xdr:colOff>0</xdr:colOff>
      <xdr:row>1</xdr:row>
      <xdr:rowOff>142875</xdr:rowOff>
    </xdr:from>
    <xdr:to>
      <xdr:col>9</xdr:col>
      <xdr:colOff>552450</xdr:colOff>
      <xdr:row>23</xdr:row>
      <xdr:rowOff>66675</xdr:rowOff>
    </xdr:to>
    <xdr:sp macro="" textlink="">
      <xdr:nvSpPr>
        <xdr:cNvPr id="3073" name="Text Box 1">
          <a:extLst>
            <a:ext uri="{FF2B5EF4-FFF2-40B4-BE49-F238E27FC236}">
              <a16:creationId xmlns:a16="http://schemas.microsoft.com/office/drawing/2014/main" id="{2B9D13C5-56BF-4140-9B1C-D6C0AAF9402A}"/>
            </a:ext>
          </a:extLst>
        </xdr:cNvPr>
        <xdr:cNvSpPr txBox="1">
          <a:spLocks noChangeArrowheads="1"/>
        </xdr:cNvSpPr>
      </xdr:nvSpPr>
      <xdr:spPr bwMode="auto">
        <a:xfrm>
          <a:off x="0" y="304800"/>
          <a:ext cx="6038850" cy="3486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spreadsheet is intended solely for the calculation of Alternative Soil Cleanup Target Levels (SCTLs) based on formulas provided in the February 2005 Technical Report: Development of Cleanup Target Levels for Chapter 62-777, F.A.C.  Using the tabs at the bottom of the workbook, two sheets are available for modification, 'Leachability' and 'Direct Exposure.'  The first sheet is intended to calculate Alternative SCTLs for Leachability Based on Groundwater Criteria.  The second sheet is intended to calculate Alternative SCTLs for Direct Exposure Residential.  The worksheet labeled 'Data Table' consists of all data used for these calculations.  Only four cells are left unprotected in each of the calculation worksheets; the dropdown selection for contaminant of concern, average soil moisture content, fraction of organic carbon in soil, and dry soil bulk density.  Default values are listed to the right for these user entry data values; the default values were used in the calculation of the SCTLs presented in Chapter 62-777, F.A.C.  Users should enter the field-collected and laboratory-determined values for each of these site-specific parameters.  The newly calculated Site-Specific SCTLs will be shown at the top of the worksheet.  The user should print out each contaminant of concern applicable for the site and include in the appropriate report.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location and depth of soil samples should be performed in accordance with subparagraph 62-770.600(4)(f)2., F.A.C.  Frequency of sampling should be performed in accordance with Chapter 62-777, F.A.C. or as agreed upon by the appropriate regulatory agency.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Please contact Robert Brown, Petroleum Cleanup Section 3, with any questions at 850-245-8904 or Robert.C.Brown@dep.state.fl.us.</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xdr:row>
          <xdr:rowOff>133350</xdr:rowOff>
        </xdr:from>
        <xdr:to>
          <xdr:col>4</xdr:col>
          <xdr:colOff>0</xdr:colOff>
          <xdr:row>3</xdr:row>
          <xdr:rowOff>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xdr:row>
          <xdr:rowOff>133350</xdr:rowOff>
        </xdr:from>
        <xdr:to>
          <xdr:col>4</xdr:col>
          <xdr:colOff>0</xdr:colOff>
          <xdr:row>3</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selection sqref="A1:J1"/>
    </sheetView>
  </sheetViews>
  <sheetFormatPr defaultRowHeight="12.75" x14ac:dyDescent="0.2"/>
  <sheetData>
    <row r="1" spans="1:10" x14ac:dyDescent="0.2">
      <c r="A1" s="50" t="s">
        <v>201</v>
      </c>
      <c r="B1" s="50"/>
      <c r="C1" s="50"/>
      <c r="D1" s="50"/>
      <c r="E1" s="50"/>
      <c r="F1" s="50"/>
      <c r="G1" s="50"/>
      <c r="H1" s="50"/>
      <c r="I1" s="50"/>
      <c r="J1" s="50"/>
    </row>
    <row r="2" spans="1:10" x14ac:dyDescent="0.2">
      <c r="A2" s="48"/>
      <c r="B2" s="48"/>
      <c r="C2" s="48"/>
      <c r="D2" s="48"/>
      <c r="E2" s="48"/>
      <c r="F2" s="48"/>
      <c r="G2" s="48"/>
      <c r="H2" s="48"/>
      <c r="I2" s="48"/>
      <c r="J2" s="48"/>
    </row>
    <row r="3" spans="1:10" x14ac:dyDescent="0.2">
      <c r="A3" s="49"/>
      <c r="B3" s="49"/>
      <c r="C3" s="49"/>
      <c r="D3" s="49"/>
      <c r="E3" s="49"/>
      <c r="F3" s="49"/>
      <c r="G3" s="49"/>
      <c r="H3" s="49"/>
      <c r="I3" s="49"/>
      <c r="J3" s="49"/>
    </row>
    <row r="4" spans="1:10" x14ac:dyDescent="0.2">
      <c r="A4" s="49"/>
      <c r="B4" s="49"/>
      <c r="C4" s="49"/>
      <c r="D4" s="49"/>
      <c r="E4" s="49"/>
      <c r="F4" s="49"/>
      <c r="G4" s="49"/>
      <c r="H4" s="49"/>
      <c r="I4" s="49"/>
      <c r="J4" s="49"/>
    </row>
    <row r="5" spans="1:10" x14ac:dyDescent="0.2">
      <c r="A5" s="49"/>
      <c r="B5" s="49"/>
      <c r="C5" s="49"/>
      <c r="D5" s="49"/>
      <c r="E5" s="49"/>
      <c r="F5" s="49"/>
      <c r="G5" s="49"/>
      <c r="H5" s="49"/>
      <c r="I5" s="49"/>
      <c r="J5" s="49"/>
    </row>
    <row r="6" spans="1:10" x14ac:dyDescent="0.2">
      <c r="A6" s="49"/>
      <c r="B6" s="49"/>
      <c r="C6" s="49"/>
      <c r="D6" s="49"/>
      <c r="E6" s="49"/>
      <c r="F6" s="49"/>
      <c r="G6" s="49"/>
      <c r="H6" s="49"/>
      <c r="I6" s="49"/>
      <c r="J6" s="49"/>
    </row>
    <row r="7" spans="1:10" x14ac:dyDescent="0.2">
      <c r="A7" s="49"/>
      <c r="B7" s="49"/>
      <c r="C7" s="49"/>
      <c r="D7" s="49"/>
      <c r="E7" s="49"/>
      <c r="F7" s="49"/>
      <c r="G7" s="49"/>
      <c r="H7" s="49"/>
      <c r="I7" s="49"/>
      <c r="J7" s="49"/>
    </row>
    <row r="8" spans="1:10" x14ac:dyDescent="0.2">
      <c r="A8" s="49"/>
      <c r="B8" s="49"/>
      <c r="C8" s="49"/>
      <c r="D8" s="49"/>
      <c r="E8" s="49"/>
      <c r="F8" s="49"/>
      <c r="G8" s="49"/>
      <c r="H8" s="49"/>
      <c r="I8" s="49"/>
      <c r="J8" s="49"/>
    </row>
    <row r="9" spans="1:10" x14ac:dyDescent="0.2">
      <c r="A9" s="49"/>
      <c r="B9" s="49"/>
      <c r="C9" s="49"/>
      <c r="D9" s="49"/>
      <c r="E9" s="49"/>
      <c r="F9" s="49"/>
      <c r="G9" s="49"/>
      <c r="H9" s="49"/>
      <c r="I9" s="49"/>
      <c r="J9" s="49"/>
    </row>
    <row r="10" spans="1:10" x14ac:dyDescent="0.2">
      <c r="A10" s="49"/>
      <c r="B10" s="49"/>
      <c r="C10" s="49"/>
      <c r="D10" s="49"/>
      <c r="E10" s="49"/>
      <c r="F10" s="49"/>
      <c r="G10" s="49"/>
      <c r="H10" s="49"/>
      <c r="I10" s="49"/>
      <c r="J10" s="49"/>
    </row>
    <row r="11" spans="1:10" x14ac:dyDescent="0.2">
      <c r="A11" s="49"/>
      <c r="B11" s="49"/>
      <c r="C11" s="49"/>
      <c r="D11" s="49"/>
      <c r="E11" s="49"/>
      <c r="F11" s="49"/>
      <c r="G11" s="49"/>
      <c r="H11" s="49"/>
      <c r="I11" s="49"/>
      <c r="J11" s="49"/>
    </row>
    <row r="12" spans="1:10" x14ac:dyDescent="0.2">
      <c r="A12" s="49"/>
      <c r="B12" s="49"/>
      <c r="C12" s="49"/>
      <c r="D12" s="49"/>
      <c r="E12" s="49"/>
      <c r="F12" s="49"/>
      <c r="G12" s="49"/>
      <c r="H12" s="49"/>
      <c r="I12" s="49"/>
      <c r="J12" s="49"/>
    </row>
    <row r="13" spans="1:10" x14ac:dyDescent="0.2">
      <c r="A13" s="49"/>
      <c r="B13" s="49"/>
      <c r="C13" s="49"/>
      <c r="D13" s="49"/>
      <c r="E13" s="49"/>
      <c r="F13" s="49"/>
      <c r="G13" s="49"/>
      <c r="H13" s="49"/>
      <c r="I13" s="49"/>
      <c r="J13" s="49"/>
    </row>
    <row r="14" spans="1:10" x14ac:dyDescent="0.2">
      <c r="A14" s="49"/>
      <c r="B14" s="49"/>
      <c r="C14" s="49"/>
      <c r="D14" s="49"/>
      <c r="E14" s="49"/>
      <c r="F14" s="49"/>
      <c r="G14" s="49"/>
      <c r="H14" s="49"/>
      <c r="I14" s="49"/>
      <c r="J14" s="49"/>
    </row>
    <row r="15" spans="1:10" x14ac:dyDescent="0.2">
      <c r="A15" s="49"/>
      <c r="B15" s="49"/>
      <c r="C15" s="49"/>
      <c r="D15" s="49"/>
      <c r="E15" s="49"/>
      <c r="F15" s="49"/>
      <c r="G15" s="49"/>
      <c r="H15" s="49"/>
      <c r="I15" s="49"/>
      <c r="J15" s="49"/>
    </row>
    <row r="16" spans="1:10" x14ac:dyDescent="0.2">
      <c r="A16" s="49"/>
      <c r="B16" s="49"/>
      <c r="C16" s="49"/>
      <c r="D16" s="49"/>
      <c r="E16" s="49"/>
      <c r="F16" s="49"/>
      <c r="G16" s="49"/>
      <c r="H16" s="49"/>
      <c r="I16" s="49"/>
      <c r="J16" s="49"/>
    </row>
    <row r="17" spans="1:10" x14ac:dyDescent="0.2">
      <c r="A17" s="49"/>
      <c r="B17" s="49"/>
      <c r="C17" s="49"/>
      <c r="D17" s="49"/>
      <c r="E17" s="49"/>
      <c r="F17" s="49"/>
      <c r="G17" s="49"/>
      <c r="H17" s="49"/>
      <c r="I17" s="49"/>
      <c r="J17" s="49"/>
    </row>
    <row r="18" spans="1:10" x14ac:dyDescent="0.2">
      <c r="A18" s="48"/>
      <c r="B18" s="48"/>
      <c r="C18" s="48"/>
      <c r="D18" s="48"/>
      <c r="E18" s="48"/>
      <c r="F18" s="48"/>
      <c r="G18" s="48"/>
      <c r="H18" s="48"/>
      <c r="I18" s="48"/>
      <c r="J18" s="48"/>
    </row>
    <row r="19" spans="1:10" x14ac:dyDescent="0.2">
      <c r="A19" s="48"/>
      <c r="B19" s="48"/>
      <c r="C19" s="48"/>
      <c r="D19" s="48"/>
      <c r="E19" s="48"/>
      <c r="F19" s="48"/>
      <c r="G19" s="48"/>
      <c r="H19" s="48"/>
      <c r="I19" s="48"/>
      <c r="J19" s="48"/>
    </row>
    <row r="20" spans="1:10" x14ac:dyDescent="0.2">
      <c r="A20" s="48"/>
      <c r="B20" s="48"/>
      <c r="C20" s="48"/>
      <c r="D20" s="48"/>
      <c r="E20" s="48"/>
      <c r="F20" s="48"/>
      <c r="G20" s="48"/>
      <c r="H20" s="48"/>
      <c r="I20" s="48"/>
      <c r="J20" s="48"/>
    </row>
    <row r="21" spans="1:10" x14ac:dyDescent="0.2">
      <c r="A21" s="48"/>
      <c r="B21" s="48"/>
      <c r="C21" s="48"/>
      <c r="D21" s="48"/>
      <c r="E21" s="48"/>
      <c r="F21" s="48"/>
      <c r="G21" s="48"/>
      <c r="H21" s="48"/>
      <c r="I21" s="48"/>
      <c r="J21" s="48"/>
    </row>
    <row r="22" spans="1:10" x14ac:dyDescent="0.2">
      <c r="A22" s="48"/>
      <c r="B22" s="48"/>
      <c r="C22" s="48"/>
      <c r="D22" s="48"/>
      <c r="E22" s="48"/>
      <c r="F22" s="48"/>
      <c r="G22" s="48"/>
      <c r="H22" s="48"/>
      <c r="I22" s="48"/>
      <c r="J22" s="48"/>
    </row>
    <row r="23" spans="1:10" x14ac:dyDescent="0.2">
      <c r="A23" s="48"/>
      <c r="B23" s="48"/>
      <c r="C23" s="48"/>
      <c r="D23" s="48"/>
      <c r="E23" s="48"/>
      <c r="F23" s="48"/>
      <c r="G23" s="48"/>
      <c r="H23" s="48"/>
      <c r="I23" s="48"/>
      <c r="J23" s="48"/>
    </row>
    <row r="24" spans="1:10" x14ac:dyDescent="0.2">
      <c r="A24" s="48"/>
      <c r="B24" s="48"/>
      <c r="C24" s="48"/>
      <c r="D24" s="48"/>
      <c r="E24" s="48"/>
      <c r="F24" s="48"/>
      <c r="G24" s="48"/>
      <c r="H24" s="48"/>
      <c r="I24" s="48"/>
      <c r="J24" s="48"/>
    </row>
  </sheetData>
  <mergeCells count="1">
    <mergeCell ref="A1:J1"/>
  </mergeCells>
  <phoneticPr fontId="12" type="noConversion"/>
  <pageMargins left="0.75" right="0.75" top="1" bottom="1" header="0.5" footer="0.5"/>
  <pageSetup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workbookViewId="0">
      <selection activeCell="D7" sqref="D7"/>
    </sheetView>
  </sheetViews>
  <sheetFormatPr defaultRowHeight="12.75" x14ac:dyDescent="0.2"/>
  <cols>
    <col min="1" max="1" width="29.140625" bestFit="1" customWidth="1"/>
    <col min="2" max="2" width="5.42578125" bestFit="1" customWidth="1"/>
    <col min="3" max="3" width="10.42578125" customWidth="1"/>
    <col min="4" max="4" width="19.85546875" style="5" customWidth="1"/>
    <col min="5" max="5" width="2.85546875" bestFit="1" customWidth="1"/>
    <col min="6" max="6" width="18.140625" bestFit="1" customWidth="1"/>
  </cols>
  <sheetData>
    <row r="1" spans="1:8" x14ac:dyDescent="0.2">
      <c r="A1" t="s">
        <v>171</v>
      </c>
      <c r="D1" s="5">
        <f>D18*D12*D13*(D22*D5+((D8+D9*D7)/D6))</f>
        <v>6.7664415094339627E-3</v>
      </c>
    </row>
    <row r="3" spans="1:8" x14ac:dyDescent="0.2">
      <c r="A3" s="31" t="s">
        <v>64</v>
      </c>
      <c r="B3" s="31" t="s">
        <v>105</v>
      </c>
      <c r="C3" s="31" t="s">
        <v>11</v>
      </c>
      <c r="D3" s="45"/>
      <c r="E3" s="46">
        <v>19</v>
      </c>
      <c r="F3" s="3" t="s">
        <v>98</v>
      </c>
      <c r="G3" s="44" t="s">
        <v>199</v>
      </c>
      <c r="H3" s="3"/>
    </row>
    <row r="4" spans="1:8" x14ac:dyDescent="0.2">
      <c r="A4" s="32" t="s">
        <v>110</v>
      </c>
      <c r="B4" s="32" t="s">
        <v>106</v>
      </c>
      <c r="C4" s="32" t="s">
        <v>109</v>
      </c>
      <c r="D4" s="45">
        <v>0.2</v>
      </c>
      <c r="E4" s="25"/>
      <c r="F4" s="3" t="s">
        <v>98</v>
      </c>
      <c r="G4" s="3">
        <v>0.2</v>
      </c>
      <c r="H4" s="3"/>
    </row>
    <row r="5" spans="1:8" ht="15.75" x14ac:dyDescent="0.3">
      <c r="A5" s="32" t="s">
        <v>111</v>
      </c>
      <c r="B5" s="32" t="s">
        <v>107</v>
      </c>
      <c r="C5" s="32" t="s">
        <v>23</v>
      </c>
      <c r="D5" s="45">
        <v>2E-3</v>
      </c>
      <c r="E5" s="25"/>
      <c r="F5" s="3" t="s">
        <v>98</v>
      </c>
      <c r="G5" s="3">
        <v>2E-3</v>
      </c>
      <c r="H5" s="3"/>
    </row>
    <row r="6" spans="1:8" ht="16.5" thickBot="1" x14ac:dyDescent="0.35">
      <c r="A6" s="32" t="s">
        <v>112</v>
      </c>
      <c r="B6" s="32" t="s">
        <v>108</v>
      </c>
      <c r="C6" s="32" t="s">
        <v>30</v>
      </c>
      <c r="D6" s="45">
        <v>1.5</v>
      </c>
      <c r="E6" s="25"/>
      <c r="F6" s="3" t="s">
        <v>98</v>
      </c>
      <c r="G6" s="3">
        <v>1.5</v>
      </c>
      <c r="H6" s="3"/>
    </row>
    <row r="7" spans="1:8" s="1" customFormat="1" x14ac:dyDescent="0.2">
      <c r="A7" s="39" t="s">
        <v>115</v>
      </c>
      <c r="B7" s="39" t="s">
        <v>22</v>
      </c>
      <c r="C7" s="39" t="s">
        <v>12</v>
      </c>
      <c r="D7" s="38">
        <f>41*D23</f>
        <v>0.22755</v>
      </c>
      <c r="E7" s="40"/>
      <c r="F7" s="1" t="s">
        <v>99</v>
      </c>
    </row>
    <row r="8" spans="1:8" ht="15.75" x14ac:dyDescent="0.3">
      <c r="A8" s="33" t="s">
        <v>113</v>
      </c>
      <c r="B8" s="33" t="s">
        <v>117</v>
      </c>
      <c r="C8" s="33" t="s">
        <v>30</v>
      </c>
      <c r="D8" s="5">
        <f>D4*D6</f>
        <v>0.30000000000000004</v>
      </c>
      <c r="E8" s="25"/>
      <c r="F8" t="s">
        <v>99</v>
      </c>
    </row>
    <row r="9" spans="1:8" ht="15.75" x14ac:dyDescent="0.3">
      <c r="A9" s="33" t="s">
        <v>114</v>
      </c>
      <c r="B9" s="33" t="s">
        <v>118</v>
      </c>
      <c r="C9" s="33" t="s">
        <v>30</v>
      </c>
      <c r="D9" s="5">
        <f>D10-D8</f>
        <v>0.13396226415094337</v>
      </c>
      <c r="E9" s="25"/>
      <c r="F9" t="s">
        <v>99</v>
      </c>
    </row>
    <row r="10" spans="1:8" ht="13.5" thickBot="1" x14ac:dyDescent="0.25">
      <c r="A10" s="33" t="s">
        <v>116</v>
      </c>
      <c r="B10" s="33" t="s">
        <v>97</v>
      </c>
      <c r="C10" s="33" t="s">
        <v>12</v>
      </c>
      <c r="D10" s="5">
        <f>1-(D6/D11)</f>
        <v>0.43396226415094341</v>
      </c>
      <c r="E10" s="25"/>
      <c r="F10" t="s">
        <v>99</v>
      </c>
    </row>
    <row r="11" spans="1:8" s="1" customFormat="1" ht="15.75" x14ac:dyDescent="0.3">
      <c r="A11" s="39" t="s">
        <v>102</v>
      </c>
      <c r="B11" s="39" t="s">
        <v>101</v>
      </c>
      <c r="C11" s="39" t="s">
        <v>30</v>
      </c>
      <c r="D11" s="47">
        <v>2.65</v>
      </c>
      <c r="E11" s="40"/>
      <c r="F11" s="1" t="s">
        <v>100</v>
      </c>
    </row>
    <row r="12" spans="1:8" x14ac:dyDescent="0.2">
      <c r="A12" s="33" t="s">
        <v>103</v>
      </c>
      <c r="B12" s="33" t="s">
        <v>18</v>
      </c>
      <c r="C12" s="33" t="s">
        <v>120</v>
      </c>
      <c r="D12" s="5">
        <v>1E-3</v>
      </c>
      <c r="E12" s="25"/>
      <c r="F12" t="s">
        <v>100</v>
      </c>
    </row>
    <row r="13" spans="1:8" ht="13.5" thickBot="1" x14ac:dyDescent="0.25">
      <c r="A13" s="33" t="s">
        <v>104</v>
      </c>
      <c r="B13" s="33" t="s">
        <v>119</v>
      </c>
      <c r="C13" s="33" t="s">
        <v>12</v>
      </c>
      <c r="D13" s="5">
        <v>20</v>
      </c>
      <c r="E13" s="25"/>
      <c r="F13" t="s">
        <v>100</v>
      </c>
    </row>
    <row r="14" spans="1:8" s="1" customFormat="1" ht="25.5" x14ac:dyDescent="0.2">
      <c r="A14" s="36" t="s">
        <v>124</v>
      </c>
      <c r="B14" s="36" t="s">
        <v>25</v>
      </c>
      <c r="C14" s="36" t="s">
        <v>26</v>
      </c>
      <c r="D14" s="37">
        <f>LOOKUP($E$3,'Data Table'!$A$2:$A$33,'Data Table'!$C$2:$C$33)</f>
        <v>1.2</v>
      </c>
      <c r="E14" s="38"/>
      <c r="F14" s="1" t="s">
        <v>170</v>
      </c>
    </row>
    <row r="15" spans="1:8" ht="25.5" x14ac:dyDescent="0.2">
      <c r="A15" s="26" t="s">
        <v>125</v>
      </c>
      <c r="B15" s="26" t="s">
        <v>25</v>
      </c>
      <c r="C15" s="26" t="s">
        <v>26</v>
      </c>
      <c r="D15" s="29">
        <f>LOOKUP($E$3,'Data Table'!$A$2:$A$33,'Data Table'!$D$2:$D$33)</f>
        <v>1.7</v>
      </c>
      <c r="E15" s="5"/>
      <c r="F15" t="s">
        <v>170</v>
      </c>
    </row>
    <row r="16" spans="1:8" ht="25.5" x14ac:dyDescent="0.2">
      <c r="A16" s="26" t="s">
        <v>126</v>
      </c>
      <c r="B16" s="26" t="s">
        <v>25</v>
      </c>
      <c r="C16" s="26" t="s">
        <v>26</v>
      </c>
      <c r="D16" s="29">
        <f>LOOKUP($E$3,'Data Table'!$A$2:$A$33,'Data Table'!$E$2:$E$33)</f>
        <v>7.0000000000000001E-3</v>
      </c>
      <c r="E16" s="5"/>
      <c r="F16" t="s">
        <v>170</v>
      </c>
    </row>
    <row r="17" spans="1:6" ht="25.5" x14ac:dyDescent="0.2">
      <c r="A17" s="26" t="s">
        <v>127</v>
      </c>
      <c r="B17" s="26" t="s">
        <v>25</v>
      </c>
      <c r="C17" s="26" t="s">
        <v>26</v>
      </c>
      <c r="D17" s="29">
        <f>LOOKUP($E$3,'Data Table'!$A$2:$A$33,'Data Table'!$F$2:$F$33)</f>
        <v>7.0000000000000007E-2</v>
      </c>
      <c r="E17" s="5"/>
      <c r="F17" t="s">
        <v>170</v>
      </c>
    </row>
    <row r="18" spans="1:6" x14ac:dyDescent="0.2">
      <c r="A18" t="s">
        <v>123</v>
      </c>
      <c r="B18" t="s">
        <v>29</v>
      </c>
      <c r="C18" s="33" t="s">
        <v>121</v>
      </c>
      <c r="D18" s="5">
        <f>LOOKUP($E$3,'Data Table'!$A$2:$A$33,'Data Table'!$G$2:$G$33)</f>
        <v>1</v>
      </c>
      <c r="E18" s="5"/>
      <c r="F18" t="s">
        <v>170</v>
      </c>
    </row>
    <row r="19" spans="1:6" ht="14.25" x14ac:dyDescent="0.2">
      <c r="A19" s="27" t="s">
        <v>129</v>
      </c>
      <c r="B19" s="34" t="s">
        <v>128</v>
      </c>
      <c r="C19" s="34" t="s">
        <v>122</v>
      </c>
      <c r="D19" s="5">
        <f>LOOKUP($E$3,'Data Table'!$A$2:$A$33,'Data Table'!$H$2:$H$33)</f>
        <v>5.5</v>
      </c>
      <c r="E19" s="5"/>
      <c r="F19" t="s">
        <v>170</v>
      </c>
    </row>
    <row r="20" spans="1:6" ht="14.25" x14ac:dyDescent="0.2">
      <c r="A20" s="26" t="s">
        <v>131</v>
      </c>
      <c r="B20" s="26" t="s">
        <v>130</v>
      </c>
      <c r="C20" s="33" t="s">
        <v>30</v>
      </c>
      <c r="D20" s="7">
        <f>LOOKUP($E$3,'Data Table'!$A$2:$A$33,'Data Table'!$I$2:$I$33)</f>
        <v>0.87649999999999995</v>
      </c>
      <c r="E20" s="5"/>
      <c r="F20" t="s">
        <v>170</v>
      </c>
    </row>
    <row r="21" spans="1:6" x14ac:dyDescent="0.2">
      <c r="A21" s="26" t="s">
        <v>134</v>
      </c>
      <c r="B21" s="26" t="s">
        <v>132</v>
      </c>
      <c r="C21" s="26" t="s">
        <v>133</v>
      </c>
      <c r="D21" s="7">
        <f>LOOKUP($E$3,'Data Table'!$A$2:$A$33,'Data Table'!$J$2:$J$33)</f>
        <v>1750</v>
      </c>
      <c r="E21" s="5"/>
      <c r="F21" t="s">
        <v>170</v>
      </c>
    </row>
    <row r="22" spans="1:6" ht="15.75" x14ac:dyDescent="0.3">
      <c r="A22" s="26" t="s">
        <v>136</v>
      </c>
      <c r="B22" s="33" t="s">
        <v>135</v>
      </c>
      <c r="C22" s="26" t="s">
        <v>24</v>
      </c>
      <c r="D22" s="7">
        <f>LOOKUP($E$3,'Data Table'!$A$2:$A$33,'Data Table'!$K$2:$K$33)</f>
        <v>59</v>
      </c>
      <c r="F22" t="s">
        <v>170</v>
      </c>
    </row>
    <row r="23" spans="1:6" ht="27" x14ac:dyDescent="0.2">
      <c r="A23" s="26" t="s">
        <v>115</v>
      </c>
      <c r="B23" s="26" t="s">
        <v>21</v>
      </c>
      <c r="C23" s="26" t="s">
        <v>144</v>
      </c>
      <c r="D23" s="7">
        <f>LOOKUP($E$3,'Data Table'!$A$2:$A$33,'Data Table'!$L$2:$L$33)</f>
        <v>5.5500000000000002E-3</v>
      </c>
      <c r="F23" t="s">
        <v>170</v>
      </c>
    </row>
    <row r="24" spans="1:6" ht="15.75" x14ac:dyDescent="0.3">
      <c r="A24" s="26" t="s">
        <v>146</v>
      </c>
      <c r="B24" s="26" t="s">
        <v>137</v>
      </c>
      <c r="C24" s="26" t="s">
        <v>139</v>
      </c>
      <c r="D24" s="7">
        <f>LOOKUP($E$3,'Data Table'!$A$2:$A$33,'Data Table'!$M$2:$M$33)</f>
        <v>8.7999999999999995E-2</v>
      </c>
      <c r="F24" t="s">
        <v>170</v>
      </c>
    </row>
    <row r="25" spans="1:6" ht="15.75" x14ac:dyDescent="0.3">
      <c r="A25" s="26" t="s">
        <v>147</v>
      </c>
      <c r="B25" s="26" t="s">
        <v>138</v>
      </c>
      <c r="C25" s="26" t="s">
        <v>139</v>
      </c>
      <c r="D25" s="7">
        <f>LOOKUP($E$3,'Data Table'!$A$2:$A$33,'Data Table'!$N$2:$N$33)</f>
        <v>1.0200000000000001E-5</v>
      </c>
      <c r="F25" t="s">
        <v>170</v>
      </c>
    </row>
    <row r="26" spans="1:6" ht="15.75" x14ac:dyDescent="0.3">
      <c r="A26" s="26" t="s">
        <v>150</v>
      </c>
      <c r="B26" s="33" t="s">
        <v>28</v>
      </c>
      <c r="C26" s="26" t="s">
        <v>24</v>
      </c>
      <c r="D26" s="7">
        <f>LOOKUP($E$3,'Data Table'!$A$2:$A$33,'Data Table'!$O$2:$O$33)</f>
        <v>0.35399999999999998</v>
      </c>
      <c r="F26" t="s">
        <v>170</v>
      </c>
    </row>
    <row r="27" spans="1:6" ht="15.75" x14ac:dyDescent="0.3">
      <c r="A27" s="26" t="s">
        <v>151</v>
      </c>
      <c r="B27" s="26" t="s">
        <v>145</v>
      </c>
      <c r="C27" s="26" t="s">
        <v>139</v>
      </c>
      <c r="D27" s="7">
        <f>LOOKUP($E$3,'Data Table'!$A$2:$A$33,'Data Table'!$P$2:$P$33)</f>
        <v>2.1459999999999999E-3</v>
      </c>
      <c r="F27" t="s">
        <v>170</v>
      </c>
    </row>
    <row r="28" spans="1:6" ht="14.25" x14ac:dyDescent="0.2">
      <c r="A28" s="26" t="s">
        <v>149</v>
      </c>
      <c r="B28" s="26" t="s">
        <v>9</v>
      </c>
      <c r="C28" s="26" t="s">
        <v>31</v>
      </c>
      <c r="D28" s="7">
        <f>LOOKUP($E$3,'Data Table'!$A$2:$A$33,'Data Table'!$Q$2:$Q$33)</f>
        <v>3357</v>
      </c>
      <c r="F28" t="s">
        <v>170</v>
      </c>
    </row>
    <row r="29" spans="1:6" ht="14.25" x14ac:dyDescent="0.2">
      <c r="A29" s="26" t="s">
        <v>152</v>
      </c>
      <c r="B29" s="26" t="s">
        <v>9</v>
      </c>
      <c r="C29" s="26" t="s">
        <v>31</v>
      </c>
      <c r="D29" s="7">
        <f>LOOKUP($E$3,'Data Table'!$A$2:$A$33,'Data Table'!$R$2:$R$33)</f>
        <v>1501</v>
      </c>
      <c r="F29" t="s">
        <v>170</v>
      </c>
    </row>
    <row r="30" spans="1:6" ht="14.25" x14ac:dyDescent="0.2">
      <c r="A30" s="26" t="s">
        <v>153</v>
      </c>
      <c r="B30" s="26" t="s">
        <v>9</v>
      </c>
      <c r="C30" s="26" t="s">
        <v>31</v>
      </c>
      <c r="D30" s="7">
        <f>LOOKUP($E$3,'Data Table'!$A$2:$A$33,'Data Table'!$S$2:$S$33)</f>
        <v>3065</v>
      </c>
      <c r="F30" t="s">
        <v>170</v>
      </c>
    </row>
    <row r="31" spans="1:6" x14ac:dyDescent="0.2">
      <c r="A31" s="27" t="s">
        <v>82</v>
      </c>
      <c r="B31" s="34" t="s">
        <v>12</v>
      </c>
      <c r="C31" s="34" t="s">
        <v>12</v>
      </c>
      <c r="D31" s="7">
        <f>LOOKUP($E$3,'Data Table'!$A$2:$A$33,'Data Table'!$T$2:$T$33)</f>
        <v>0.9</v>
      </c>
      <c r="F31" t="s">
        <v>170</v>
      </c>
    </row>
    <row r="32" spans="1:6" x14ac:dyDescent="0.2">
      <c r="A32" s="26" t="s">
        <v>83</v>
      </c>
      <c r="B32" s="26" t="s">
        <v>12</v>
      </c>
      <c r="C32" s="26" t="s">
        <v>12</v>
      </c>
      <c r="D32" s="7" t="str">
        <f>LOOKUP($E$3,'Data Table'!$A$2:$A$33,'Data Table'!$U$2:$U$33)</f>
        <v>A</v>
      </c>
      <c r="F32" t="s">
        <v>170</v>
      </c>
    </row>
    <row r="33" spans="1:6" ht="14.25" x14ac:dyDescent="0.2">
      <c r="A33" s="28" t="s">
        <v>168</v>
      </c>
      <c r="B33" s="35" t="s">
        <v>154</v>
      </c>
      <c r="C33" s="33" t="s">
        <v>141</v>
      </c>
      <c r="D33" s="7">
        <f>LOOKUP($E$3,'Data Table'!$A$2:$A$33,'Data Table'!$V$2:$V$33)</f>
        <v>7.7999999999999999E-6</v>
      </c>
      <c r="F33" t="s">
        <v>170</v>
      </c>
    </row>
    <row r="34" spans="1:6" ht="27" x14ac:dyDescent="0.3">
      <c r="A34" s="28" t="s">
        <v>159</v>
      </c>
      <c r="B34" s="35" t="s">
        <v>156</v>
      </c>
      <c r="C34" s="35" t="s">
        <v>140</v>
      </c>
      <c r="D34" s="7">
        <f>LOOKUP($E$3,'Data Table'!$A$2:$A$33,'Data Table'!$W$2:$W$33)</f>
        <v>5.5E-2</v>
      </c>
      <c r="F34" t="s">
        <v>170</v>
      </c>
    </row>
    <row r="35" spans="1:6" ht="27" x14ac:dyDescent="0.3">
      <c r="A35" s="28" t="s">
        <v>160</v>
      </c>
      <c r="B35" s="35" t="s">
        <v>157</v>
      </c>
      <c r="C35" s="35" t="s">
        <v>140</v>
      </c>
      <c r="D35" s="7">
        <f>LOOKUP($E$3,'Data Table'!$A$2:$A$33,'Data Table'!$X$2:$X$33)</f>
        <v>2.7300000000000001E-2</v>
      </c>
      <c r="F35" t="s">
        <v>170</v>
      </c>
    </row>
    <row r="36" spans="1:6" ht="27" x14ac:dyDescent="0.3">
      <c r="A36" s="28" t="s">
        <v>161</v>
      </c>
      <c r="B36" s="35" t="s">
        <v>158</v>
      </c>
      <c r="C36" s="35" t="s">
        <v>140</v>
      </c>
      <c r="D36" s="7">
        <f>LOOKUP($E$3,'Data Table'!$A$2:$A$33,'Data Table'!$Y$2:$Y$33)</f>
        <v>6.1109999999999998E-2</v>
      </c>
      <c r="F36" t="s">
        <v>170</v>
      </c>
    </row>
    <row r="37" spans="1:6" ht="14.25" x14ac:dyDescent="0.2">
      <c r="A37" s="30" t="s">
        <v>169</v>
      </c>
      <c r="B37" s="35" t="s">
        <v>155</v>
      </c>
      <c r="C37" s="33" t="s">
        <v>142</v>
      </c>
      <c r="D37" s="7">
        <f>LOOKUP($E$3,'Data Table'!$A$2:$A$33,'Data Table'!$Z$2:$Z$33)</f>
        <v>0.03</v>
      </c>
      <c r="F37" t="s">
        <v>170</v>
      </c>
    </row>
    <row r="38" spans="1:6" ht="15.75" x14ac:dyDescent="0.3">
      <c r="A38" s="30" t="s">
        <v>165</v>
      </c>
      <c r="B38" s="35" t="s">
        <v>162</v>
      </c>
      <c r="C38" s="35" t="s">
        <v>143</v>
      </c>
      <c r="D38" s="7">
        <f>LOOKUP($E$3,'Data Table'!$A$2:$A$33,'Data Table'!$AA$2:$AA$33)</f>
        <v>4.0000000000000001E-3</v>
      </c>
      <c r="F38" t="s">
        <v>170</v>
      </c>
    </row>
    <row r="39" spans="1:6" ht="15.75" x14ac:dyDescent="0.3">
      <c r="A39" s="30" t="s">
        <v>166</v>
      </c>
      <c r="B39" s="35" t="s">
        <v>163</v>
      </c>
      <c r="C39" s="35" t="s">
        <v>143</v>
      </c>
      <c r="D39" s="7">
        <f>LOOKUP($E$3,'Data Table'!$A$2:$A$33,'Data Table'!$AB$2:$AB$33)</f>
        <v>8.5710000000000005E-3</v>
      </c>
      <c r="F39" t="s">
        <v>170</v>
      </c>
    </row>
    <row r="40" spans="1:6" ht="15.75" x14ac:dyDescent="0.3">
      <c r="A40" s="30" t="s">
        <v>167</v>
      </c>
      <c r="B40" s="35" t="s">
        <v>164</v>
      </c>
      <c r="C40" s="35" t="s">
        <v>143</v>
      </c>
      <c r="D40" s="7">
        <f>LOOKUP($E$3,'Data Table'!$A$2:$A$33,'Data Table'!$AC$2:$AC$33)</f>
        <v>3.5999999999999999E-3</v>
      </c>
      <c r="F40" t="s">
        <v>170</v>
      </c>
    </row>
  </sheetData>
  <sheetProtection sheet="1" objects="1" scenarios="1"/>
  <dataConsolidate/>
  <phoneticPr fontId="0" type="noConversion"/>
  <pageMargins left="0.75" right="0.75" top="1" bottom="1" header="0.5" footer="0.5"/>
  <pageSetup scale="98" orientation="portrait" r:id="rId1"/>
  <headerFooter alignWithMargins="0">
    <oddHeader>&amp;CLeachability Alternative SCTLs</oddHeader>
    <oddFooter>&amp;LASCTLs - 082405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4" r:id="rId4" name="Drop Down 40">
              <controlPr locked="0" defaultSize="0" autoLine="0" autoPict="0" altText="Contaminant">
                <anchor moveWithCells="1">
                  <from>
                    <xdr:col>3</xdr:col>
                    <xdr:colOff>28575</xdr:colOff>
                    <xdr:row>1</xdr:row>
                    <xdr:rowOff>133350</xdr:rowOff>
                  </from>
                  <to>
                    <xdr:col>4</xdr:col>
                    <xdr:colOff>0</xdr:colOff>
                    <xdr:row>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8"/>
  <sheetViews>
    <sheetView tabSelected="1" workbookViewId="0">
      <selection activeCell="A29" sqref="A29"/>
    </sheetView>
  </sheetViews>
  <sheetFormatPr defaultRowHeight="12.75" x14ac:dyDescent="0.2"/>
  <cols>
    <col min="1" max="1" width="29.140625" bestFit="1" customWidth="1"/>
    <col min="2" max="2" width="5.42578125" bestFit="1" customWidth="1"/>
    <col min="3" max="3" width="11" bestFit="1" customWidth="1"/>
    <col min="4" max="4" width="19.85546875" style="5" customWidth="1"/>
    <col min="5" max="5" width="2.85546875" bestFit="1" customWidth="1"/>
    <col min="6" max="6" width="18.140625" bestFit="1" customWidth="1"/>
  </cols>
  <sheetData>
    <row r="1" spans="1:8" x14ac:dyDescent="0.2">
      <c r="A1" t="s">
        <v>171</v>
      </c>
      <c r="D1" s="5">
        <f>IF(D52=0,((D19*D20*D21*D24)/(D22*D23*D25*(((1/D56)*D26*(10^-6))+((1/D58)*D29*D28*D30*(10^-6))+((1/D57)*D27*((1/D12)+(1/D31)))))),((D18*D20*D21*D24)/(D22*D23*D25*((D52*D26*(10^-6))+(D54*D29*D28*D30*(10^-6))+(D53*D27*((1/D12)+(1/D31)))))))</f>
        <v>1.1902802874424721</v>
      </c>
    </row>
    <row r="3" spans="1:8" x14ac:dyDescent="0.2">
      <c r="A3" s="41" t="s">
        <v>64</v>
      </c>
      <c r="B3" s="41" t="s">
        <v>105</v>
      </c>
      <c r="C3" s="41" t="s">
        <v>11</v>
      </c>
      <c r="D3" s="45"/>
      <c r="E3" s="46">
        <v>19</v>
      </c>
      <c r="F3" s="3" t="s">
        <v>98</v>
      </c>
      <c r="G3" s="44" t="s">
        <v>199</v>
      </c>
      <c r="H3" s="3"/>
    </row>
    <row r="4" spans="1:8" x14ac:dyDescent="0.2">
      <c r="A4" s="32" t="s">
        <v>110</v>
      </c>
      <c r="B4" s="32" t="s">
        <v>106</v>
      </c>
      <c r="C4" s="32" t="s">
        <v>109</v>
      </c>
      <c r="D4" s="45">
        <v>0.1</v>
      </c>
      <c r="E4" s="25"/>
      <c r="F4" s="3" t="s">
        <v>98</v>
      </c>
      <c r="G4" s="3">
        <v>0.1</v>
      </c>
      <c r="H4" s="3"/>
    </row>
    <row r="5" spans="1:8" ht="15.75" x14ac:dyDescent="0.3">
      <c r="A5" s="32" t="s">
        <v>111</v>
      </c>
      <c r="B5" s="32" t="s">
        <v>107</v>
      </c>
      <c r="C5" s="32" t="s">
        <v>23</v>
      </c>
      <c r="D5" s="45">
        <v>6.0000000000000001E-3</v>
      </c>
      <c r="E5" s="25"/>
      <c r="F5" s="3" t="s">
        <v>98</v>
      </c>
      <c r="G5" s="3">
        <v>6.0000000000000001E-3</v>
      </c>
      <c r="H5" s="3"/>
    </row>
    <row r="6" spans="1:8" ht="16.5" thickBot="1" x14ac:dyDescent="0.35">
      <c r="A6" s="32" t="s">
        <v>112</v>
      </c>
      <c r="B6" s="32" t="s">
        <v>108</v>
      </c>
      <c r="C6" s="32" t="s">
        <v>30</v>
      </c>
      <c r="D6" s="45">
        <v>1.5</v>
      </c>
      <c r="E6" s="25"/>
      <c r="F6" s="3" t="s">
        <v>98</v>
      </c>
      <c r="G6" s="3">
        <v>1.5</v>
      </c>
      <c r="H6" s="3"/>
    </row>
    <row r="7" spans="1:8" s="1" customFormat="1" x14ac:dyDescent="0.2">
      <c r="A7" s="39" t="s">
        <v>115</v>
      </c>
      <c r="B7" s="39" t="s">
        <v>22</v>
      </c>
      <c r="C7" s="39" t="s">
        <v>12</v>
      </c>
      <c r="D7" s="38">
        <f>41*D41</f>
        <v>0.22755</v>
      </c>
      <c r="E7" s="40"/>
      <c r="F7" s="1" t="s">
        <v>99</v>
      </c>
    </row>
    <row r="8" spans="1:8" ht="15.75" x14ac:dyDescent="0.3">
      <c r="A8" s="33" t="s">
        <v>113</v>
      </c>
      <c r="B8" s="33" t="s">
        <v>117</v>
      </c>
      <c r="C8" s="33" t="s">
        <v>30</v>
      </c>
      <c r="D8" s="5">
        <f>D4*D6</f>
        <v>0.15000000000000002</v>
      </c>
      <c r="E8" s="25"/>
      <c r="F8" t="s">
        <v>99</v>
      </c>
    </row>
    <row r="9" spans="1:8" ht="15.75" x14ac:dyDescent="0.3">
      <c r="A9" s="33" t="s">
        <v>114</v>
      </c>
      <c r="B9" s="33" t="s">
        <v>118</v>
      </c>
      <c r="C9" s="33" t="s">
        <v>30</v>
      </c>
      <c r="D9" s="5">
        <f>D10-D8</f>
        <v>0.28396226415094339</v>
      </c>
      <c r="E9" s="25"/>
      <c r="F9" t="s">
        <v>99</v>
      </c>
    </row>
    <row r="10" spans="1:8" x14ac:dyDescent="0.2">
      <c r="A10" s="33" t="s">
        <v>116</v>
      </c>
      <c r="B10" s="33" t="s">
        <v>97</v>
      </c>
      <c r="C10" s="33" t="s">
        <v>12</v>
      </c>
      <c r="D10" s="5">
        <f>1-(D6/D13)</f>
        <v>0.43396226415094341</v>
      </c>
      <c r="E10" s="25"/>
      <c r="F10" t="s">
        <v>99</v>
      </c>
    </row>
    <row r="11" spans="1:8" ht="15.75" x14ac:dyDescent="0.3">
      <c r="A11" s="33" t="s">
        <v>151</v>
      </c>
      <c r="B11" s="33" t="s">
        <v>176</v>
      </c>
      <c r="C11" s="26" t="s">
        <v>139</v>
      </c>
      <c r="D11" s="43">
        <f>((((D9^(10/3))*D42*D7)+((D8^(10/3))*D43))/(D10*D10))/((D6*D5*D40)+D8+(D9*D7))</f>
        <v>2.1463590706717341E-3</v>
      </c>
      <c r="E11" s="25"/>
      <c r="F11" t="s">
        <v>99</v>
      </c>
    </row>
    <row r="12" spans="1:8" ht="15" thickBot="1" x14ac:dyDescent="0.25">
      <c r="A12" s="33" t="s">
        <v>175</v>
      </c>
      <c r="B12" s="33" t="s">
        <v>9</v>
      </c>
      <c r="C12" s="26" t="s">
        <v>31</v>
      </c>
      <c r="D12" s="43">
        <f>D16*D14*(((3.14*D11*D17)^0.5)/(2*D6*D11))</f>
        <v>3357.2277803079969</v>
      </c>
      <c r="E12" s="25"/>
      <c r="F12" t="s">
        <v>99</v>
      </c>
    </row>
    <row r="13" spans="1:8" s="1" customFormat="1" ht="15.75" x14ac:dyDescent="0.3">
      <c r="A13" s="39" t="s">
        <v>102</v>
      </c>
      <c r="B13" s="39" t="s">
        <v>101</v>
      </c>
      <c r="C13" s="39" t="s">
        <v>30</v>
      </c>
      <c r="D13" s="47">
        <v>2.65</v>
      </c>
      <c r="E13" s="40"/>
      <c r="F13" s="1" t="s">
        <v>100</v>
      </c>
    </row>
    <row r="14" spans="1:8" x14ac:dyDescent="0.2">
      <c r="A14" s="33" t="s">
        <v>103</v>
      </c>
      <c r="B14" s="33" t="s">
        <v>18</v>
      </c>
      <c r="C14" s="33" t="s">
        <v>120</v>
      </c>
      <c r="D14" s="5">
        <v>1E-4</v>
      </c>
      <c r="E14" s="25"/>
      <c r="F14" t="s">
        <v>100</v>
      </c>
    </row>
    <row r="15" spans="1:8" x14ac:dyDescent="0.2">
      <c r="A15" s="33" t="s">
        <v>177</v>
      </c>
      <c r="B15" s="33" t="s">
        <v>119</v>
      </c>
      <c r="C15" s="33" t="s">
        <v>12</v>
      </c>
      <c r="D15" s="5">
        <v>20</v>
      </c>
      <c r="E15" s="25"/>
      <c r="F15" t="s">
        <v>100</v>
      </c>
    </row>
    <row r="16" spans="1:8" ht="14.25" x14ac:dyDescent="0.2">
      <c r="A16" s="33" t="s">
        <v>172</v>
      </c>
      <c r="B16" s="33" t="s">
        <v>17</v>
      </c>
      <c r="C16" s="33" t="s">
        <v>173</v>
      </c>
      <c r="D16" s="5">
        <v>85.61</v>
      </c>
      <c r="E16" s="25"/>
      <c r="F16" t="s">
        <v>100</v>
      </c>
    </row>
    <row r="17" spans="1:6" x14ac:dyDescent="0.2">
      <c r="A17" t="s">
        <v>174</v>
      </c>
      <c r="B17" t="s">
        <v>19</v>
      </c>
      <c r="C17" t="s">
        <v>20</v>
      </c>
      <c r="D17" s="43">
        <f>31536000*D23</f>
        <v>946080000</v>
      </c>
      <c r="F17" t="s">
        <v>100</v>
      </c>
    </row>
    <row r="18" spans="1:6" x14ac:dyDescent="0.2">
      <c r="A18" t="s">
        <v>180</v>
      </c>
      <c r="B18" t="s">
        <v>0</v>
      </c>
      <c r="C18" t="s">
        <v>12</v>
      </c>
      <c r="D18" s="43">
        <v>9.9999999999999995E-7</v>
      </c>
      <c r="F18" t="s">
        <v>100</v>
      </c>
    </row>
    <row r="19" spans="1:6" x14ac:dyDescent="0.2">
      <c r="A19" t="s">
        <v>178</v>
      </c>
      <c r="B19" t="s">
        <v>179</v>
      </c>
      <c r="C19" t="s">
        <v>12</v>
      </c>
      <c r="D19" s="5">
        <v>1</v>
      </c>
      <c r="F19" t="s">
        <v>100</v>
      </c>
    </row>
    <row r="20" spans="1:6" x14ac:dyDescent="0.2">
      <c r="A20" t="s">
        <v>181</v>
      </c>
      <c r="B20" t="s">
        <v>1</v>
      </c>
      <c r="C20" t="s">
        <v>13</v>
      </c>
      <c r="D20" s="5">
        <f>IF(D52=0,16.8,51.9)</f>
        <v>51.9</v>
      </c>
      <c r="F20" t="s">
        <v>100</v>
      </c>
    </row>
    <row r="21" spans="1:6" x14ac:dyDescent="0.2">
      <c r="A21" t="s">
        <v>182</v>
      </c>
      <c r="B21" t="s">
        <v>2</v>
      </c>
      <c r="C21" t="s">
        <v>14</v>
      </c>
      <c r="D21" s="5">
        <f>IF(D52=0,2190,25550)</f>
        <v>25550</v>
      </c>
      <c r="F21" t="s">
        <v>100</v>
      </c>
    </row>
    <row r="22" spans="1:6" x14ac:dyDescent="0.2">
      <c r="A22" t="s">
        <v>183</v>
      </c>
      <c r="B22" t="s">
        <v>3</v>
      </c>
      <c r="C22" t="s">
        <v>184</v>
      </c>
      <c r="D22" s="5">
        <v>350</v>
      </c>
      <c r="F22" t="s">
        <v>100</v>
      </c>
    </row>
    <row r="23" spans="1:6" x14ac:dyDescent="0.2">
      <c r="A23" t="s">
        <v>185</v>
      </c>
      <c r="B23" t="s">
        <v>4</v>
      </c>
      <c r="C23" t="s">
        <v>15</v>
      </c>
      <c r="D23" s="5">
        <f>IF(D52=0,6,30)</f>
        <v>30</v>
      </c>
      <c r="F23" t="s">
        <v>100</v>
      </c>
    </row>
    <row r="24" spans="1:6" x14ac:dyDescent="0.2">
      <c r="A24" t="s">
        <v>186</v>
      </c>
      <c r="B24" t="s">
        <v>187</v>
      </c>
      <c r="C24" t="s">
        <v>12</v>
      </c>
      <c r="D24" s="5">
        <v>1</v>
      </c>
      <c r="F24" t="s">
        <v>100</v>
      </c>
    </row>
    <row r="25" spans="1:6" x14ac:dyDescent="0.2">
      <c r="A25" t="s">
        <v>188</v>
      </c>
      <c r="B25" t="s">
        <v>5</v>
      </c>
      <c r="C25" t="s">
        <v>189</v>
      </c>
      <c r="D25" s="5">
        <v>1</v>
      </c>
      <c r="F25" t="s">
        <v>100</v>
      </c>
    </row>
    <row r="26" spans="1:6" ht="15.75" x14ac:dyDescent="0.3">
      <c r="A26" t="s">
        <v>190</v>
      </c>
      <c r="B26" t="s">
        <v>192</v>
      </c>
      <c r="C26" t="s">
        <v>16</v>
      </c>
      <c r="D26" s="5">
        <f>IF(D52=0,200,120)</f>
        <v>120</v>
      </c>
      <c r="F26" t="s">
        <v>100</v>
      </c>
    </row>
    <row r="27" spans="1:6" ht="15.75" x14ac:dyDescent="0.3">
      <c r="A27" t="s">
        <v>191</v>
      </c>
      <c r="B27" t="s">
        <v>193</v>
      </c>
      <c r="C27" t="s">
        <v>16</v>
      </c>
      <c r="D27" s="5">
        <f>IF(D52=0,8.1,12.2)</f>
        <v>12.2</v>
      </c>
      <c r="F27" t="s">
        <v>100</v>
      </c>
    </row>
    <row r="28" spans="1:6" ht="14.25" x14ac:dyDescent="0.2">
      <c r="A28" t="s">
        <v>194</v>
      </c>
      <c r="B28" t="s">
        <v>7</v>
      </c>
      <c r="C28" s="42" t="s">
        <v>27</v>
      </c>
      <c r="D28" s="5">
        <f>IF(D52=0,0.2,0.1)</f>
        <v>0.1</v>
      </c>
      <c r="F28" t="s">
        <v>100</v>
      </c>
    </row>
    <row r="29" spans="1:6" ht="14.25" x14ac:dyDescent="0.2">
      <c r="A29" t="s">
        <v>195</v>
      </c>
      <c r="B29" t="s">
        <v>6</v>
      </c>
      <c r="C29" s="26" t="s">
        <v>196</v>
      </c>
      <c r="D29" s="5">
        <f>IF(D52=0,2960,4810)</f>
        <v>4810</v>
      </c>
      <c r="F29" t="s">
        <v>100</v>
      </c>
    </row>
    <row r="30" spans="1:6" x14ac:dyDescent="0.2">
      <c r="A30" t="s">
        <v>197</v>
      </c>
      <c r="B30" t="s">
        <v>8</v>
      </c>
      <c r="C30" t="s">
        <v>189</v>
      </c>
      <c r="D30" s="5">
        <v>0.01</v>
      </c>
      <c r="F30" t="s">
        <v>100</v>
      </c>
    </row>
    <row r="31" spans="1:6" ht="15" thickBot="1" x14ac:dyDescent="0.25">
      <c r="A31" t="s">
        <v>198</v>
      </c>
      <c r="B31" t="s">
        <v>10</v>
      </c>
      <c r="C31" s="26" t="s">
        <v>31</v>
      </c>
      <c r="D31" s="43">
        <v>1240000000</v>
      </c>
      <c r="F31" t="s">
        <v>100</v>
      </c>
    </row>
    <row r="32" spans="1:6" s="1" customFormat="1" ht="25.5" x14ac:dyDescent="0.2">
      <c r="A32" s="36" t="s">
        <v>124</v>
      </c>
      <c r="B32" s="36" t="s">
        <v>25</v>
      </c>
      <c r="C32" s="36" t="s">
        <v>26</v>
      </c>
      <c r="D32" s="37">
        <f>LOOKUP($E$3,'Data Table'!$A$2:$A$33,'Data Table'!$C$2:$C$33)</f>
        <v>1.2</v>
      </c>
      <c r="E32" s="38"/>
      <c r="F32" s="1" t="s">
        <v>170</v>
      </c>
    </row>
    <row r="33" spans="1:6" ht="25.5" x14ac:dyDescent="0.2">
      <c r="A33" s="26" t="s">
        <v>125</v>
      </c>
      <c r="B33" s="26" t="s">
        <v>25</v>
      </c>
      <c r="C33" s="26" t="s">
        <v>26</v>
      </c>
      <c r="D33" s="29">
        <f>LOOKUP($E$3,'Data Table'!$A$2:$A$33,'Data Table'!$D$2:$D$33)</f>
        <v>1.7</v>
      </c>
      <c r="E33" s="5"/>
      <c r="F33" t="s">
        <v>170</v>
      </c>
    </row>
    <row r="34" spans="1:6" ht="25.5" x14ac:dyDescent="0.2">
      <c r="A34" s="26" t="s">
        <v>126</v>
      </c>
      <c r="B34" s="26" t="s">
        <v>25</v>
      </c>
      <c r="C34" s="26" t="s">
        <v>26</v>
      </c>
      <c r="D34" s="29">
        <f>LOOKUP($E$3,'Data Table'!$A$2:$A$33,'Data Table'!$E$2:$E$33)</f>
        <v>7.0000000000000001E-3</v>
      </c>
      <c r="E34" s="5"/>
      <c r="F34" t="s">
        <v>170</v>
      </c>
    </row>
    <row r="35" spans="1:6" ht="25.5" x14ac:dyDescent="0.2">
      <c r="A35" s="26" t="s">
        <v>127</v>
      </c>
      <c r="B35" s="26" t="s">
        <v>25</v>
      </c>
      <c r="C35" s="26" t="s">
        <v>26</v>
      </c>
      <c r="D35" s="29">
        <f>LOOKUP($E$3,'Data Table'!$A$2:$A$33,'Data Table'!$F$2:$F$33)</f>
        <v>7.0000000000000007E-2</v>
      </c>
      <c r="E35" s="5"/>
      <c r="F35" t="s">
        <v>170</v>
      </c>
    </row>
    <row r="36" spans="1:6" x14ac:dyDescent="0.2">
      <c r="A36" t="s">
        <v>123</v>
      </c>
      <c r="B36" t="s">
        <v>29</v>
      </c>
      <c r="C36" s="33" t="s">
        <v>121</v>
      </c>
      <c r="D36" s="5">
        <f>LOOKUP($E$3,'Data Table'!$A$2:$A$33,'Data Table'!$G$2:$G$33)</f>
        <v>1</v>
      </c>
      <c r="E36" s="5"/>
      <c r="F36" t="s">
        <v>170</v>
      </c>
    </row>
    <row r="37" spans="1:6" ht="14.25" x14ac:dyDescent="0.2">
      <c r="A37" s="27" t="s">
        <v>129</v>
      </c>
      <c r="B37" s="34" t="s">
        <v>128</v>
      </c>
      <c r="C37" s="34" t="s">
        <v>122</v>
      </c>
      <c r="D37" s="5">
        <f>LOOKUP($E$3,'Data Table'!$A$2:$A$33,'Data Table'!$H$2:$H$33)</f>
        <v>5.5</v>
      </c>
      <c r="E37" s="5"/>
      <c r="F37" t="s">
        <v>170</v>
      </c>
    </row>
    <row r="38" spans="1:6" ht="14.25" x14ac:dyDescent="0.2">
      <c r="A38" s="26" t="s">
        <v>131</v>
      </c>
      <c r="B38" s="26" t="s">
        <v>130</v>
      </c>
      <c r="C38" s="33" t="s">
        <v>30</v>
      </c>
      <c r="D38" s="43">
        <f>LOOKUP($E$3,'Data Table'!$A$2:$A$33,'Data Table'!$I$2:$I$33)</f>
        <v>0.87649999999999995</v>
      </c>
      <c r="E38" s="5"/>
      <c r="F38" t="s">
        <v>170</v>
      </c>
    </row>
    <row r="39" spans="1:6" x14ac:dyDescent="0.2">
      <c r="A39" s="26" t="s">
        <v>134</v>
      </c>
      <c r="B39" s="26" t="s">
        <v>132</v>
      </c>
      <c r="C39" s="26" t="s">
        <v>133</v>
      </c>
      <c r="D39" s="43">
        <f>LOOKUP($E$3,'Data Table'!$A$2:$A$33,'Data Table'!$J$2:$J$33)</f>
        <v>1750</v>
      </c>
      <c r="E39" s="5"/>
      <c r="F39" t="s">
        <v>170</v>
      </c>
    </row>
    <row r="40" spans="1:6" ht="15.75" x14ac:dyDescent="0.3">
      <c r="A40" s="26" t="s">
        <v>136</v>
      </c>
      <c r="B40" s="33" t="s">
        <v>135</v>
      </c>
      <c r="C40" s="26" t="s">
        <v>24</v>
      </c>
      <c r="D40" s="43">
        <f>LOOKUP($E$3,'Data Table'!$A$2:$A$33,'Data Table'!$K$2:$K$33)</f>
        <v>59</v>
      </c>
      <c r="F40" t="s">
        <v>170</v>
      </c>
    </row>
    <row r="41" spans="1:6" ht="14.25" x14ac:dyDescent="0.2">
      <c r="A41" s="26" t="s">
        <v>115</v>
      </c>
      <c r="B41" s="26" t="s">
        <v>21</v>
      </c>
      <c r="C41" s="26" t="s">
        <v>144</v>
      </c>
      <c r="D41" s="43">
        <f>LOOKUP($E$3,'Data Table'!$A$2:$A$33,'Data Table'!$L$2:$L$33)</f>
        <v>5.5500000000000002E-3</v>
      </c>
      <c r="F41" t="s">
        <v>170</v>
      </c>
    </row>
    <row r="42" spans="1:6" ht="15.75" x14ac:dyDescent="0.3">
      <c r="A42" s="26" t="s">
        <v>146</v>
      </c>
      <c r="B42" s="26" t="s">
        <v>137</v>
      </c>
      <c r="C42" s="26" t="s">
        <v>139</v>
      </c>
      <c r="D42" s="43">
        <f>LOOKUP($E$3,'Data Table'!$A$2:$A$33,'Data Table'!$M$2:$M$33)</f>
        <v>8.7999999999999995E-2</v>
      </c>
      <c r="F42" t="s">
        <v>170</v>
      </c>
    </row>
    <row r="43" spans="1:6" ht="15.75" x14ac:dyDescent="0.3">
      <c r="A43" s="26" t="s">
        <v>147</v>
      </c>
      <c r="B43" s="26" t="s">
        <v>138</v>
      </c>
      <c r="C43" s="26" t="s">
        <v>139</v>
      </c>
      <c r="D43" s="43">
        <f>LOOKUP($E$3,'Data Table'!$A$2:$A$33,'Data Table'!$N$2:$N$33)</f>
        <v>1.0200000000000001E-5</v>
      </c>
      <c r="F43" t="s">
        <v>170</v>
      </c>
    </row>
    <row r="44" spans="1:6" ht="15.75" x14ac:dyDescent="0.3">
      <c r="A44" s="26" t="s">
        <v>150</v>
      </c>
      <c r="B44" s="33" t="s">
        <v>28</v>
      </c>
      <c r="C44" s="26" t="s">
        <v>24</v>
      </c>
      <c r="D44" s="43">
        <f>LOOKUP($E$3,'Data Table'!$A$2:$A$33,'Data Table'!$O$2:$O$33)</f>
        <v>0.35399999999999998</v>
      </c>
      <c r="F44" t="s">
        <v>170</v>
      </c>
    </row>
    <row r="45" spans="1:6" ht="15.75" x14ac:dyDescent="0.3">
      <c r="A45" s="26" t="s">
        <v>151</v>
      </c>
      <c r="B45" s="26" t="s">
        <v>145</v>
      </c>
      <c r="C45" s="26" t="s">
        <v>139</v>
      </c>
      <c r="D45" s="43">
        <f>LOOKUP($E$3,'Data Table'!$A$2:$A$33,'Data Table'!$P$2:$P$33)</f>
        <v>2.1459999999999999E-3</v>
      </c>
      <c r="F45" t="s">
        <v>170</v>
      </c>
    </row>
    <row r="46" spans="1:6" ht="14.25" x14ac:dyDescent="0.2">
      <c r="A46" s="26" t="s">
        <v>149</v>
      </c>
      <c r="B46" s="26" t="s">
        <v>9</v>
      </c>
      <c r="C46" s="26" t="s">
        <v>31</v>
      </c>
      <c r="D46" s="43">
        <f>LOOKUP($E$3,'Data Table'!$A$2:$A$33,'Data Table'!$Q$2:$Q$33)</f>
        <v>3357</v>
      </c>
      <c r="F46" t="s">
        <v>170</v>
      </c>
    </row>
    <row r="47" spans="1:6" ht="14.25" x14ac:dyDescent="0.2">
      <c r="A47" s="26" t="s">
        <v>152</v>
      </c>
      <c r="B47" s="26" t="s">
        <v>9</v>
      </c>
      <c r="C47" s="26" t="s">
        <v>31</v>
      </c>
      <c r="D47" s="43">
        <f>LOOKUP($E$3,'Data Table'!$A$2:$A$33,'Data Table'!$R$2:$R$33)</f>
        <v>1501</v>
      </c>
      <c r="F47" t="s">
        <v>170</v>
      </c>
    </row>
    <row r="48" spans="1:6" ht="14.25" x14ac:dyDescent="0.2">
      <c r="A48" s="26" t="s">
        <v>153</v>
      </c>
      <c r="B48" s="26" t="s">
        <v>9</v>
      </c>
      <c r="C48" s="26" t="s">
        <v>31</v>
      </c>
      <c r="D48" s="43">
        <f>LOOKUP($E$3,'Data Table'!$A$2:$A$33,'Data Table'!$S$2:$S$33)</f>
        <v>3065</v>
      </c>
      <c r="F48" t="s">
        <v>170</v>
      </c>
    </row>
    <row r="49" spans="1:6" x14ac:dyDescent="0.2">
      <c r="A49" s="27" t="s">
        <v>82</v>
      </c>
      <c r="B49" s="34" t="s">
        <v>12</v>
      </c>
      <c r="C49" s="34" t="s">
        <v>12</v>
      </c>
      <c r="D49" s="43">
        <f>LOOKUP($E$3,'Data Table'!$A$2:$A$33,'Data Table'!$T$2:$T$33)</f>
        <v>0.9</v>
      </c>
      <c r="F49" t="s">
        <v>170</v>
      </c>
    </row>
    <row r="50" spans="1:6" x14ac:dyDescent="0.2">
      <c r="A50" s="26" t="s">
        <v>83</v>
      </c>
      <c r="B50" s="26" t="s">
        <v>12</v>
      </c>
      <c r="C50" s="26" t="s">
        <v>12</v>
      </c>
      <c r="D50" s="43" t="str">
        <f>LOOKUP($E$3,'Data Table'!$A$2:$A$33,'Data Table'!$U$2:$U$33)</f>
        <v>A</v>
      </c>
      <c r="F50" t="s">
        <v>170</v>
      </c>
    </row>
    <row r="51" spans="1:6" ht="14.25" x14ac:dyDescent="0.2">
      <c r="A51" s="28" t="s">
        <v>168</v>
      </c>
      <c r="B51" s="35" t="s">
        <v>154</v>
      </c>
      <c r="C51" s="33" t="s">
        <v>141</v>
      </c>
      <c r="D51" s="43">
        <f>LOOKUP($E$3,'Data Table'!$A$2:$A$33,'Data Table'!$V$2:$V$33)</f>
        <v>7.7999999999999999E-6</v>
      </c>
      <c r="F51" t="s">
        <v>170</v>
      </c>
    </row>
    <row r="52" spans="1:6" ht="27" x14ac:dyDescent="0.3">
      <c r="A52" s="28" t="s">
        <v>159</v>
      </c>
      <c r="B52" s="35" t="s">
        <v>156</v>
      </c>
      <c r="C52" s="35" t="s">
        <v>140</v>
      </c>
      <c r="D52" s="43">
        <f>LOOKUP($E$3,'Data Table'!$A$2:$A$33,'Data Table'!$W$2:$W$33)</f>
        <v>5.5E-2</v>
      </c>
      <c r="F52" t="s">
        <v>170</v>
      </c>
    </row>
    <row r="53" spans="1:6" ht="27" x14ac:dyDescent="0.3">
      <c r="A53" s="28" t="s">
        <v>160</v>
      </c>
      <c r="B53" s="35" t="s">
        <v>157</v>
      </c>
      <c r="C53" s="35" t="s">
        <v>140</v>
      </c>
      <c r="D53" s="43">
        <f>LOOKUP($E$3,'Data Table'!$A$2:$A$33,'Data Table'!$X$2:$X$33)</f>
        <v>2.7300000000000001E-2</v>
      </c>
      <c r="F53" t="s">
        <v>170</v>
      </c>
    </row>
    <row r="54" spans="1:6" ht="27" x14ac:dyDescent="0.3">
      <c r="A54" s="28" t="s">
        <v>161</v>
      </c>
      <c r="B54" s="35" t="s">
        <v>158</v>
      </c>
      <c r="C54" s="35" t="s">
        <v>140</v>
      </c>
      <c r="D54" s="43">
        <f>LOOKUP($E$3,'Data Table'!$A$2:$A$33,'Data Table'!$Y$2:$Y$33)</f>
        <v>6.1109999999999998E-2</v>
      </c>
      <c r="F54" t="s">
        <v>170</v>
      </c>
    </row>
    <row r="55" spans="1:6" ht="14.25" x14ac:dyDescent="0.2">
      <c r="A55" s="30" t="s">
        <v>169</v>
      </c>
      <c r="B55" s="35" t="s">
        <v>155</v>
      </c>
      <c r="C55" s="33" t="s">
        <v>142</v>
      </c>
      <c r="D55" s="43">
        <f>LOOKUP($E$3,'Data Table'!$A$2:$A$33,'Data Table'!$Z$2:$Z$33)</f>
        <v>0.03</v>
      </c>
      <c r="F55" t="s">
        <v>170</v>
      </c>
    </row>
    <row r="56" spans="1:6" ht="15.75" x14ac:dyDescent="0.3">
      <c r="A56" s="30" t="s">
        <v>165</v>
      </c>
      <c r="B56" s="35" t="s">
        <v>162</v>
      </c>
      <c r="C56" s="35" t="s">
        <v>143</v>
      </c>
      <c r="D56" s="43">
        <f>LOOKUP($E$3,'Data Table'!$A$2:$A$33,'Data Table'!$AA$2:$AA$33)</f>
        <v>4.0000000000000001E-3</v>
      </c>
      <c r="F56" t="s">
        <v>170</v>
      </c>
    </row>
    <row r="57" spans="1:6" ht="15.75" x14ac:dyDescent="0.3">
      <c r="A57" s="30" t="s">
        <v>166</v>
      </c>
      <c r="B57" s="35" t="s">
        <v>163</v>
      </c>
      <c r="C57" s="35" t="s">
        <v>143</v>
      </c>
      <c r="D57" s="43">
        <f>LOOKUP($E$3,'Data Table'!$A$2:$A$33,'Data Table'!$AB$2:$AB$33)</f>
        <v>8.5710000000000005E-3</v>
      </c>
      <c r="F57" t="s">
        <v>170</v>
      </c>
    </row>
    <row r="58" spans="1:6" ht="15.75" x14ac:dyDescent="0.3">
      <c r="A58" s="30" t="s">
        <v>167</v>
      </c>
      <c r="B58" s="35" t="s">
        <v>164</v>
      </c>
      <c r="C58" s="35" t="s">
        <v>143</v>
      </c>
      <c r="D58" s="43">
        <f>LOOKUP($E$3,'Data Table'!$A$2:$A$33,'Data Table'!$AC$2:$AC$33)</f>
        <v>3.5999999999999999E-3</v>
      </c>
      <c r="F58" t="s">
        <v>170</v>
      </c>
    </row>
  </sheetData>
  <sheetProtection sheet="1" objects="1" scenarios="1"/>
  <dataConsolidate/>
  <phoneticPr fontId="0" type="noConversion"/>
  <pageMargins left="0.75" right="0.75" top="1" bottom="1" header="0.5" footer="0.5"/>
  <pageSetup scale="73" orientation="portrait" r:id="rId1"/>
  <headerFooter alignWithMargins="0">
    <oddHeader>&amp;CDirect Exposure Alternative SCTLs</oddHeader>
    <oddFooter>&amp;LASCTLs - 082405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ltText="Contaminant">
                <anchor moveWithCells="1">
                  <from>
                    <xdr:col>3</xdr:col>
                    <xdr:colOff>28575</xdr:colOff>
                    <xdr:row>1</xdr:row>
                    <xdr:rowOff>133350</xdr:rowOff>
                  </from>
                  <to>
                    <xdr:col>4</xdr:col>
                    <xdr:colOff>0</xdr:colOff>
                    <xdr:row>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pane xSplit="2" ySplit="1" topLeftCell="C2" activePane="bottomRight" state="frozenSplit"/>
      <selection pane="topRight" activeCell="B1" sqref="B1"/>
      <selection pane="bottomLeft" activeCell="A3" sqref="A3"/>
      <selection pane="bottomRight" activeCell="G8" sqref="G8"/>
    </sheetView>
  </sheetViews>
  <sheetFormatPr defaultRowHeight="12.75" x14ac:dyDescent="0.2"/>
  <cols>
    <col min="1" max="1" width="3" customWidth="1"/>
    <col min="2" max="2" width="22.140625" bestFit="1" customWidth="1"/>
    <col min="3" max="3" width="12" customWidth="1"/>
    <col min="4" max="4" width="11.85546875" customWidth="1"/>
    <col min="5" max="5" width="12.28515625" customWidth="1"/>
    <col min="6" max="6" width="13.85546875" customWidth="1"/>
    <col min="7" max="7" width="13.85546875" style="24" customWidth="1"/>
    <col min="8" max="8" width="7.28515625" style="2" bestFit="1" customWidth="1"/>
    <col min="10" max="10" width="9.7109375" bestFit="1" customWidth="1"/>
    <col min="11" max="11" width="18.140625" bestFit="1" customWidth="1"/>
    <col min="12" max="12" width="14.140625" customWidth="1"/>
    <col min="13" max="13" width="9.85546875" customWidth="1"/>
    <col min="14" max="14" width="10.140625" customWidth="1"/>
    <col min="15" max="15" width="10.42578125" customWidth="1"/>
    <col min="16" max="16" width="9.85546875" customWidth="1"/>
    <col min="17" max="19" width="12.140625" customWidth="1"/>
    <col min="20" max="20" width="10.28515625" style="2" customWidth="1"/>
    <col min="22" max="22" width="9.85546875" style="10" bestFit="1" customWidth="1"/>
    <col min="23" max="23" width="11.140625" style="10" customWidth="1"/>
    <col min="24" max="24" width="11.85546875" style="10" customWidth="1"/>
    <col min="25" max="25" width="11.7109375" style="10" customWidth="1"/>
    <col min="26" max="26" width="9.7109375" bestFit="1" customWidth="1"/>
    <col min="27" max="28" width="9.7109375" style="10" bestFit="1" customWidth="1"/>
    <col min="29" max="29" width="9.140625" style="10" bestFit="1" customWidth="1"/>
  </cols>
  <sheetData>
    <row r="1" spans="1:29" s="4" customFormat="1" ht="89.25" x14ac:dyDescent="0.2">
      <c r="B1" s="4" t="s">
        <v>64</v>
      </c>
      <c r="C1" s="4" t="s">
        <v>65</v>
      </c>
      <c r="D1" s="4" t="s">
        <v>66</v>
      </c>
      <c r="E1" s="4" t="s">
        <v>67</v>
      </c>
      <c r="F1" s="4" t="s">
        <v>68</v>
      </c>
      <c r="G1" s="22" t="s">
        <v>96</v>
      </c>
      <c r="H1" s="8" t="s">
        <v>71</v>
      </c>
      <c r="I1" s="4" t="s">
        <v>72</v>
      </c>
      <c r="J1" s="4" t="s">
        <v>73</v>
      </c>
      <c r="K1" s="4" t="s">
        <v>74</v>
      </c>
      <c r="L1" s="4" t="s">
        <v>75</v>
      </c>
      <c r="M1" s="4" t="s">
        <v>76</v>
      </c>
      <c r="N1" s="4" t="s">
        <v>77</v>
      </c>
      <c r="O1" s="4" t="s">
        <v>148</v>
      </c>
      <c r="P1" s="4" t="s">
        <v>78</v>
      </c>
      <c r="Q1" s="4" t="s">
        <v>79</v>
      </c>
      <c r="R1" s="4" t="s">
        <v>80</v>
      </c>
      <c r="S1" s="4" t="s">
        <v>81</v>
      </c>
      <c r="T1" s="8" t="s">
        <v>82</v>
      </c>
      <c r="U1" s="4" t="s">
        <v>83</v>
      </c>
      <c r="V1" s="17" t="s">
        <v>95</v>
      </c>
      <c r="W1" s="17" t="s">
        <v>94</v>
      </c>
      <c r="X1" s="17" t="s">
        <v>93</v>
      </c>
      <c r="Y1" s="17" t="s">
        <v>92</v>
      </c>
      <c r="Z1" s="20" t="s">
        <v>88</v>
      </c>
      <c r="AA1" s="20" t="s">
        <v>89</v>
      </c>
      <c r="AB1" s="20" t="s">
        <v>91</v>
      </c>
      <c r="AC1" s="20" t="s">
        <v>90</v>
      </c>
    </row>
    <row r="2" spans="1:29" s="5" customFormat="1" x14ac:dyDescent="0.2">
      <c r="A2" s="5">
        <v>1</v>
      </c>
      <c r="B2" t="s">
        <v>32</v>
      </c>
      <c r="C2" s="5">
        <v>2400</v>
      </c>
      <c r="D2" s="5">
        <v>20000</v>
      </c>
      <c r="E2" s="5">
        <v>2.1</v>
      </c>
      <c r="F2" s="5">
        <v>21</v>
      </c>
      <c r="G2" s="23">
        <v>20</v>
      </c>
      <c r="H2" s="9">
        <v>93.4</v>
      </c>
      <c r="I2" s="5">
        <v>1.0242</v>
      </c>
      <c r="J2" s="7">
        <v>4.24</v>
      </c>
      <c r="K2" s="6">
        <v>2580</v>
      </c>
      <c r="L2" s="7">
        <v>1.55E-4</v>
      </c>
      <c r="M2" s="7">
        <v>4.2099999999999999E-2</v>
      </c>
      <c r="N2" s="7">
        <v>7.6899999999999992E-6</v>
      </c>
      <c r="O2" s="7">
        <v>15.5</v>
      </c>
      <c r="P2" s="7">
        <v>9.1689999999999996E-7</v>
      </c>
      <c r="Q2" s="7">
        <v>162400</v>
      </c>
      <c r="R2" s="7">
        <v>72640</v>
      </c>
      <c r="S2" s="7">
        <v>148300</v>
      </c>
      <c r="T2" s="9">
        <v>0.5</v>
      </c>
      <c r="U2" s="5" t="s">
        <v>69</v>
      </c>
      <c r="V2" s="7"/>
      <c r="W2" s="7"/>
      <c r="X2" s="7"/>
      <c r="Y2" s="7"/>
      <c r="Z2" s="7" t="s">
        <v>69</v>
      </c>
      <c r="AA2" s="7">
        <v>0.06</v>
      </c>
      <c r="AB2" s="7">
        <v>0.03</v>
      </c>
      <c r="AC2" s="7">
        <v>0.03</v>
      </c>
    </row>
    <row r="3" spans="1:29" s="5" customFormat="1" x14ac:dyDescent="0.2">
      <c r="A3" s="5">
        <v>2</v>
      </c>
      <c r="B3" t="s">
        <v>33</v>
      </c>
      <c r="C3" s="5">
        <v>1800</v>
      </c>
      <c r="D3" s="5">
        <v>20000</v>
      </c>
      <c r="E3" s="5">
        <v>27</v>
      </c>
      <c r="F3" s="5">
        <v>270</v>
      </c>
      <c r="G3" s="23">
        <v>210</v>
      </c>
      <c r="H3" s="9">
        <v>92.5</v>
      </c>
      <c r="I3" s="5">
        <v>0.89870000000000005</v>
      </c>
      <c r="J3" s="7">
        <v>16.100000000000001</v>
      </c>
      <c r="K3" s="6">
        <v>3100</v>
      </c>
      <c r="L3" s="7">
        <v>1.13E-4</v>
      </c>
      <c r="M3" s="7">
        <v>4.3869999999999999E-2</v>
      </c>
      <c r="N3" s="7">
        <v>7.5299999999999999E-6</v>
      </c>
      <c r="O3" s="7">
        <v>18.600000000000001</v>
      </c>
      <c r="P3" s="7">
        <v>5.8159999999999997E-7</v>
      </c>
      <c r="Q3" s="7">
        <v>203900</v>
      </c>
      <c r="R3" s="7">
        <v>91210</v>
      </c>
      <c r="S3" s="7">
        <v>186200</v>
      </c>
      <c r="T3" s="9">
        <v>1</v>
      </c>
      <c r="U3" s="5" t="s">
        <v>69</v>
      </c>
      <c r="V3" s="7"/>
      <c r="W3" s="7"/>
      <c r="X3" s="7"/>
      <c r="Y3" s="7"/>
      <c r="Z3" s="7" t="s">
        <v>69</v>
      </c>
      <c r="AA3" s="7">
        <v>0.03</v>
      </c>
      <c r="AB3" s="7">
        <v>0.03</v>
      </c>
      <c r="AC3" s="7">
        <v>0.03</v>
      </c>
    </row>
    <row r="4" spans="1:29" s="5" customFormat="1" x14ac:dyDescent="0.2">
      <c r="A4" s="5">
        <v>3</v>
      </c>
      <c r="B4" t="s">
        <v>34</v>
      </c>
      <c r="C4" s="5">
        <v>21000</v>
      </c>
      <c r="D4" s="5">
        <v>300000</v>
      </c>
      <c r="E4" s="5">
        <v>2500</v>
      </c>
      <c r="F4" s="5">
        <v>25000</v>
      </c>
      <c r="G4" s="23">
        <v>2100</v>
      </c>
      <c r="H4" s="9">
        <v>215</v>
      </c>
      <c r="I4" s="5">
        <v>1.28</v>
      </c>
      <c r="J4" s="7">
        <v>4.3400000000000001E-2</v>
      </c>
      <c r="K4" s="6">
        <v>29500</v>
      </c>
      <c r="L4" s="7">
        <v>6.4999999999999994E-5</v>
      </c>
      <c r="M4" s="7">
        <v>3.2399999999999998E-2</v>
      </c>
      <c r="N4" s="7">
        <v>7.7400000000000004E-6</v>
      </c>
      <c r="O4" s="7">
        <v>177</v>
      </c>
      <c r="P4" s="7">
        <v>2.625E-8</v>
      </c>
      <c r="Q4" s="7">
        <v>959900</v>
      </c>
      <c r="R4" s="7">
        <v>429300</v>
      </c>
      <c r="S4" s="7">
        <v>876300</v>
      </c>
      <c r="T4" s="9">
        <v>0.5</v>
      </c>
      <c r="U4" s="5" t="s">
        <v>69</v>
      </c>
      <c r="V4" s="7"/>
      <c r="W4" s="7"/>
      <c r="X4" s="7"/>
      <c r="Y4" s="7"/>
      <c r="Z4" s="7" t="s">
        <v>69</v>
      </c>
      <c r="AA4" s="7">
        <v>0.3</v>
      </c>
      <c r="AB4" s="7">
        <v>0.15</v>
      </c>
      <c r="AC4" s="7">
        <v>0.15</v>
      </c>
    </row>
    <row r="5" spans="1:29" s="5" customFormat="1" x14ac:dyDescent="0.2">
      <c r="A5" s="5">
        <v>4</v>
      </c>
      <c r="B5" t="s">
        <v>35</v>
      </c>
      <c r="C5" s="5">
        <v>1.3</v>
      </c>
      <c r="D5" s="5">
        <v>6.6</v>
      </c>
      <c r="E5" s="5">
        <v>0.8</v>
      </c>
      <c r="F5" s="5">
        <v>8</v>
      </c>
      <c r="G5" s="23">
        <v>0.05</v>
      </c>
      <c r="H5" s="9">
        <v>84</v>
      </c>
      <c r="I5" s="5">
        <v>1.274</v>
      </c>
      <c r="J5" s="7">
        <v>9.4000000000000004E-3</v>
      </c>
      <c r="K5" s="6">
        <v>400000</v>
      </c>
      <c r="L5" s="7">
        <v>3.3500000000000001E-6</v>
      </c>
      <c r="M5" s="7">
        <v>5.0999999999999997E-2</v>
      </c>
      <c r="N5" s="7">
        <v>9.0000000000000002E-6</v>
      </c>
      <c r="O5" s="7">
        <v>2400</v>
      </c>
      <c r="P5" s="7">
        <v>1.7929999999999999E-10</v>
      </c>
      <c r="Q5" s="7">
        <v>11620000</v>
      </c>
      <c r="R5" s="7">
        <v>5195000</v>
      </c>
      <c r="S5" s="7">
        <v>10600000</v>
      </c>
      <c r="T5" s="11">
        <v>0.5</v>
      </c>
      <c r="U5" s="12" t="s">
        <v>86</v>
      </c>
      <c r="V5" s="13" t="s">
        <v>69</v>
      </c>
      <c r="W5" s="13">
        <v>0.73</v>
      </c>
      <c r="X5" s="13">
        <v>0.31</v>
      </c>
      <c r="Y5" s="13">
        <v>1.46</v>
      </c>
      <c r="Z5" s="13"/>
      <c r="AA5" s="7"/>
      <c r="AB5" s="7"/>
      <c r="AC5" s="7"/>
    </row>
    <row r="6" spans="1:29" s="5" customFormat="1" x14ac:dyDescent="0.2">
      <c r="A6" s="5">
        <v>5</v>
      </c>
      <c r="B6" t="s">
        <v>36</v>
      </c>
      <c r="C6" s="5">
        <v>0.1</v>
      </c>
      <c r="D6" s="5">
        <v>0.7</v>
      </c>
      <c r="E6" s="5">
        <v>8</v>
      </c>
      <c r="F6" s="5">
        <v>80</v>
      </c>
      <c r="G6" s="23">
        <v>0.2</v>
      </c>
      <c r="H6" s="9">
        <v>176.5</v>
      </c>
      <c r="I6" s="5">
        <v>1.351</v>
      </c>
      <c r="J6" s="7">
        <v>1.6199999999999999E-3</v>
      </c>
      <c r="K6" s="6">
        <v>1000000</v>
      </c>
      <c r="L6" s="7">
        <v>1.13E-6</v>
      </c>
      <c r="M6" s="7">
        <v>4.2999999999999997E-2</v>
      </c>
      <c r="N6" s="7">
        <v>9.0000000000000002E-6</v>
      </c>
      <c r="O6" s="7">
        <v>6000</v>
      </c>
      <c r="P6" s="7">
        <v>2.7209999999999999E-11</v>
      </c>
      <c r="Q6" s="7">
        <v>29820000</v>
      </c>
      <c r="R6" s="7">
        <v>13330000</v>
      </c>
      <c r="S6" s="7">
        <v>27220000</v>
      </c>
      <c r="T6" s="11">
        <v>0.5</v>
      </c>
      <c r="U6" s="12" t="s">
        <v>86</v>
      </c>
      <c r="V6" s="13" t="s">
        <v>69</v>
      </c>
      <c r="W6" s="13">
        <v>7.3</v>
      </c>
      <c r="X6" s="13">
        <v>3.1</v>
      </c>
      <c r="Y6" s="13">
        <v>14.6</v>
      </c>
      <c r="Z6" s="13"/>
      <c r="AA6" s="7"/>
      <c r="AB6" s="7"/>
      <c r="AC6" s="7"/>
    </row>
    <row r="7" spans="1:29" s="5" customFormat="1" x14ac:dyDescent="0.2">
      <c r="A7" s="5">
        <v>6</v>
      </c>
      <c r="B7" t="s">
        <v>37</v>
      </c>
      <c r="C7" s="5">
        <v>1.3</v>
      </c>
      <c r="D7" s="5">
        <v>6.5</v>
      </c>
      <c r="E7" s="5">
        <v>2.4</v>
      </c>
      <c r="F7" s="5">
        <v>24</v>
      </c>
      <c r="G7" s="23">
        <v>4.8000000000000001E-2</v>
      </c>
      <c r="H7" s="9">
        <v>168</v>
      </c>
      <c r="I7" s="5">
        <v>1.351</v>
      </c>
      <c r="J7" s="7">
        <v>1.5E-3</v>
      </c>
      <c r="K7" s="6">
        <v>1250000</v>
      </c>
      <c r="L7" s="7">
        <v>1.11E-4</v>
      </c>
      <c r="M7" s="7">
        <v>2.2599999999999999E-2</v>
      </c>
      <c r="N7" s="7">
        <v>5.5600000000000001E-6</v>
      </c>
      <c r="O7" s="7">
        <v>7500</v>
      </c>
      <c r="P7" s="7">
        <v>7.3530000000000004E-10</v>
      </c>
      <c r="Q7" s="7">
        <v>5736000</v>
      </c>
      <c r="R7" s="7">
        <v>2565000</v>
      </c>
      <c r="S7" s="7">
        <v>5236000</v>
      </c>
      <c r="T7" s="11">
        <v>0.5</v>
      </c>
      <c r="U7" s="12" t="s">
        <v>86</v>
      </c>
      <c r="V7" s="13" t="s">
        <v>69</v>
      </c>
      <c r="W7" s="13">
        <v>0.73</v>
      </c>
      <c r="X7" s="13">
        <v>0.31</v>
      </c>
      <c r="Y7" s="13">
        <v>1.46</v>
      </c>
      <c r="Z7" s="13"/>
      <c r="AA7" s="7"/>
      <c r="AB7" s="7"/>
      <c r="AC7" s="7"/>
    </row>
    <row r="8" spans="1:29" s="5" customFormat="1" x14ac:dyDescent="0.2">
      <c r="A8" s="5">
        <v>7</v>
      </c>
      <c r="B8" t="s">
        <v>38</v>
      </c>
      <c r="C8" s="5">
        <v>2500</v>
      </c>
      <c r="D8" s="5">
        <v>52000</v>
      </c>
      <c r="E8" s="5">
        <v>32000</v>
      </c>
      <c r="F8" s="5">
        <v>320000</v>
      </c>
      <c r="G8" s="23">
        <v>210</v>
      </c>
      <c r="H8" s="9">
        <v>277</v>
      </c>
      <c r="I8" s="5">
        <v>1.2829999999999999</v>
      </c>
      <c r="J8" s="7">
        <v>2.5999999999999998E-4</v>
      </c>
      <c r="K8" s="6">
        <v>3850000</v>
      </c>
      <c r="L8" s="7">
        <v>1.4100000000000001E-7</v>
      </c>
      <c r="M8" s="7">
        <v>2.1000000000000001E-2</v>
      </c>
      <c r="N8" s="7">
        <v>5.2599999999999996E-6</v>
      </c>
      <c r="O8" s="7">
        <v>23100</v>
      </c>
      <c r="P8" s="7">
        <v>1.725E-12</v>
      </c>
      <c r="Q8" s="7">
        <v>118400000</v>
      </c>
      <c r="R8" s="7">
        <v>52950000</v>
      </c>
      <c r="S8" s="7">
        <v>108100000</v>
      </c>
      <c r="T8" s="14">
        <v>0.5</v>
      </c>
      <c r="U8" s="15" t="s">
        <v>69</v>
      </c>
      <c r="V8" s="16"/>
      <c r="W8" s="16"/>
      <c r="X8" s="16"/>
      <c r="Y8" s="16"/>
      <c r="Z8" s="16" t="s">
        <v>69</v>
      </c>
      <c r="AA8" s="7">
        <v>0.03</v>
      </c>
      <c r="AB8" s="7">
        <v>1.4999999999999999E-2</v>
      </c>
      <c r="AC8" s="7">
        <v>1.4999999999999999E-2</v>
      </c>
    </row>
    <row r="9" spans="1:29" s="5" customFormat="1" x14ac:dyDescent="0.2">
      <c r="A9" s="5">
        <v>8</v>
      </c>
      <c r="B9" t="s">
        <v>39</v>
      </c>
      <c r="C9" s="5">
        <v>13</v>
      </c>
      <c r="D9" s="5">
        <v>66</v>
      </c>
      <c r="E9" s="5">
        <v>24</v>
      </c>
      <c r="F9" s="5">
        <v>240</v>
      </c>
      <c r="G9" s="23">
        <v>0.48</v>
      </c>
      <c r="H9" s="9">
        <v>217</v>
      </c>
      <c r="I9" s="5">
        <v>1.351</v>
      </c>
      <c r="J9" s="7">
        <v>8.0000000000000004E-4</v>
      </c>
      <c r="K9" s="6">
        <v>1250000</v>
      </c>
      <c r="L9" s="7">
        <v>8.2900000000000002E-7</v>
      </c>
      <c r="M9" s="7">
        <v>2.2599999999999999E-2</v>
      </c>
      <c r="N9" s="7">
        <v>5.5600000000000001E-6</v>
      </c>
      <c r="O9" s="7">
        <v>7500</v>
      </c>
      <c r="P9" s="7">
        <v>1.016E-11</v>
      </c>
      <c r="Q9" s="7">
        <v>48790000</v>
      </c>
      <c r="R9" s="7">
        <v>21820000</v>
      </c>
      <c r="S9" s="7">
        <v>44540000</v>
      </c>
      <c r="T9" s="11">
        <v>0.5</v>
      </c>
      <c r="U9" s="12" t="s">
        <v>86</v>
      </c>
      <c r="V9" s="13" t="s">
        <v>69</v>
      </c>
      <c r="W9" s="13">
        <v>7.2999999999999995E-2</v>
      </c>
      <c r="X9" s="13">
        <v>3.1E-2</v>
      </c>
      <c r="Y9" s="13">
        <v>0.14599999999999999</v>
      </c>
      <c r="Z9" s="13"/>
      <c r="AA9" s="7"/>
      <c r="AB9" s="7"/>
      <c r="AC9" s="7"/>
    </row>
    <row r="10" spans="1:29" s="5" customFormat="1" x14ac:dyDescent="0.2">
      <c r="A10" s="5">
        <v>9</v>
      </c>
      <c r="B10" t="s">
        <v>40</v>
      </c>
      <c r="C10" s="5">
        <v>130</v>
      </c>
      <c r="D10" s="5">
        <v>640</v>
      </c>
      <c r="E10" s="5">
        <v>77</v>
      </c>
      <c r="F10" s="5">
        <v>770</v>
      </c>
      <c r="G10" s="23">
        <v>4.8</v>
      </c>
      <c r="H10" s="9">
        <v>258.2</v>
      </c>
      <c r="I10" s="5">
        <v>1.274</v>
      </c>
      <c r="J10" s="7">
        <v>1.6000000000000001E-3</v>
      </c>
      <c r="K10" s="6">
        <v>400000</v>
      </c>
      <c r="L10" s="7">
        <v>9.4599999999999996E-5</v>
      </c>
      <c r="M10" s="7">
        <v>2.4799999999999999E-2</v>
      </c>
      <c r="N10" s="7">
        <v>6.2099999999999998E-6</v>
      </c>
      <c r="O10" s="7">
        <v>2400</v>
      </c>
      <c r="P10" s="7">
        <v>2.152E-9</v>
      </c>
      <c r="Q10" s="7">
        <v>3353000</v>
      </c>
      <c r="R10" s="7">
        <v>1500000</v>
      </c>
      <c r="S10" s="7">
        <v>3061000</v>
      </c>
      <c r="T10" s="11">
        <v>0.5</v>
      </c>
      <c r="U10" s="12" t="s">
        <v>86</v>
      </c>
      <c r="V10" s="13" t="s">
        <v>69</v>
      </c>
      <c r="W10" s="13">
        <v>7.3000000000000001E-3</v>
      </c>
      <c r="X10" s="13">
        <v>3.0999999999999999E-3</v>
      </c>
      <c r="Y10" s="13">
        <v>1.46E-2</v>
      </c>
      <c r="Z10" s="13"/>
      <c r="AA10" s="7"/>
      <c r="AB10" s="7"/>
      <c r="AC10" s="7"/>
    </row>
    <row r="11" spans="1:29" s="5" customFormat="1" x14ac:dyDescent="0.2">
      <c r="A11" s="5">
        <v>10</v>
      </c>
      <c r="B11" t="s">
        <v>41</v>
      </c>
      <c r="C11" s="5">
        <v>0.1</v>
      </c>
      <c r="D11" s="5">
        <v>0.7</v>
      </c>
      <c r="E11" s="5">
        <v>0.7</v>
      </c>
      <c r="F11" s="5">
        <v>7</v>
      </c>
      <c r="G11" s="23">
        <v>5.0000000000000001E-3</v>
      </c>
      <c r="H11" s="9">
        <v>269.5</v>
      </c>
      <c r="I11" s="5">
        <v>1.282</v>
      </c>
      <c r="J11" s="7">
        <v>2.49E-3</v>
      </c>
      <c r="K11" s="6">
        <v>3750000</v>
      </c>
      <c r="L11" s="7">
        <v>1.4699999999999999E-8</v>
      </c>
      <c r="M11" s="7">
        <v>0.02</v>
      </c>
      <c r="N11" s="7">
        <v>5.2399999999999998E-6</v>
      </c>
      <c r="O11" s="7">
        <v>22500</v>
      </c>
      <c r="P11" s="7">
        <v>1.5069999999999999E-12</v>
      </c>
      <c r="Q11" s="7">
        <v>126700000</v>
      </c>
      <c r="R11" s="7">
        <v>56660000</v>
      </c>
      <c r="S11" s="7">
        <v>115700000</v>
      </c>
      <c r="T11" s="11">
        <v>0.5</v>
      </c>
      <c r="U11" s="12" t="s">
        <v>86</v>
      </c>
      <c r="V11" s="13" t="s">
        <v>69</v>
      </c>
      <c r="W11" s="13">
        <v>7.3</v>
      </c>
      <c r="X11" s="13">
        <v>3.1</v>
      </c>
      <c r="Y11" s="13">
        <v>14.6</v>
      </c>
      <c r="Z11" s="13"/>
      <c r="AA11" s="7"/>
      <c r="AB11" s="7"/>
      <c r="AC11" s="7"/>
    </row>
    <row r="12" spans="1:29" s="5" customFormat="1" x14ac:dyDescent="0.2">
      <c r="A12" s="5">
        <v>11</v>
      </c>
      <c r="B12" t="s">
        <v>42</v>
      </c>
      <c r="C12" s="5">
        <v>3200</v>
      </c>
      <c r="D12" s="5">
        <v>59000</v>
      </c>
      <c r="E12" s="5">
        <v>1200</v>
      </c>
      <c r="F12" s="5">
        <v>12000</v>
      </c>
      <c r="G12" s="23">
        <v>280</v>
      </c>
      <c r="H12" s="9">
        <v>107.8</v>
      </c>
      <c r="I12" s="5">
        <v>1.252</v>
      </c>
      <c r="J12" s="7">
        <v>0.20599999999999999</v>
      </c>
      <c r="K12" s="6">
        <v>110000</v>
      </c>
      <c r="L12" s="7">
        <v>1.6099999999999998E-5</v>
      </c>
      <c r="M12" s="7">
        <v>3.0200000000000001E-2</v>
      </c>
      <c r="N12" s="7">
        <v>6.3500000000000002E-6</v>
      </c>
      <c r="O12" s="7">
        <v>660</v>
      </c>
      <c r="P12" s="7">
        <v>1.67E-9</v>
      </c>
      <c r="Q12" s="7">
        <v>3806000</v>
      </c>
      <c r="R12" s="7">
        <v>1702000</v>
      </c>
      <c r="S12" s="7">
        <v>3474000</v>
      </c>
      <c r="T12" s="9">
        <v>0.5</v>
      </c>
      <c r="U12" s="5" t="s">
        <v>69</v>
      </c>
      <c r="V12" s="7"/>
      <c r="W12" s="7"/>
      <c r="X12" s="7"/>
      <c r="Y12" s="7"/>
      <c r="Z12" s="7" t="s">
        <v>69</v>
      </c>
      <c r="AA12" s="7">
        <v>0.04</v>
      </c>
      <c r="AB12" s="7">
        <v>0.02</v>
      </c>
      <c r="AC12" s="7">
        <v>0.02</v>
      </c>
    </row>
    <row r="13" spans="1:29" s="5" customFormat="1" x14ac:dyDescent="0.2">
      <c r="A13" s="5">
        <v>12</v>
      </c>
      <c r="B13" t="s">
        <v>43</v>
      </c>
      <c r="C13" s="5">
        <v>2600</v>
      </c>
      <c r="D13" s="5">
        <v>33000</v>
      </c>
      <c r="E13" s="5">
        <v>160</v>
      </c>
      <c r="F13" s="5">
        <v>1600</v>
      </c>
      <c r="G13" s="23">
        <v>280</v>
      </c>
      <c r="H13" s="9">
        <v>114.8</v>
      </c>
      <c r="I13" s="5">
        <v>1.2030000000000001</v>
      </c>
      <c r="J13" s="7">
        <v>1.98</v>
      </c>
      <c r="K13" s="6">
        <v>14000</v>
      </c>
      <c r="L13" s="7">
        <v>6.3600000000000001E-5</v>
      </c>
      <c r="M13" s="7">
        <v>3.6790000000000003E-2</v>
      </c>
      <c r="N13" s="7">
        <v>7.8890000000000002E-6</v>
      </c>
      <c r="O13" s="7">
        <v>84</v>
      </c>
      <c r="P13" s="7">
        <v>6.1360000000000002E-8</v>
      </c>
      <c r="Q13" s="7">
        <v>627900</v>
      </c>
      <c r="R13" s="7">
        <v>280800</v>
      </c>
      <c r="S13" s="7">
        <v>573200</v>
      </c>
      <c r="T13" s="9">
        <v>0.5</v>
      </c>
      <c r="U13" s="5" t="s">
        <v>69</v>
      </c>
      <c r="V13" s="7"/>
      <c r="W13" s="7"/>
      <c r="X13" s="7"/>
      <c r="Y13" s="7"/>
      <c r="Z13" s="7" t="s">
        <v>69</v>
      </c>
      <c r="AA13" s="7">
        <v>0.04</v>
      </c>
      <c r="AB13" s="7">
        <v>0.02</v>
      </c>
      <c r="AC13" s="7">
        <v>0.02</v>
      </c>
    </row>
    <row r="14" spans="1:29" s="5" customFormat="1" x14ac:dyDescent="0.2">
      <c r="A14" s="5">
        <v>13</v>
      </c>
      <c r="B14" t="s">
        <v>44</v>
      </c>
      <c r="C14" s="5">
        <v>1.3</v>
      </c>
      <c r="D14" s="5">
        <v>6.6</v>
      </c>
      <c r="E14" s="5">
        <v>6.6</v>
      </c>
      <c r="F14" s="5">
        <v>66</v>
      </c>
      <c r="G14" s="23">
        <v>4.8000000000000001E-2</v>
      </c>
      <c r="H14" s="9">
        <v>161.5</v>
      </c>
      <c r="I14" s="5">
        <v>1.351</v>
      </c>
      <c r="J14" s="7">
        <v>2.1999999999999999E-5</v>
      </c>
      <c r="K14" s="6">
        <v>3450000</v>
      </c>
      <c r="L14" s="7">
        <v>1.5999999999999999E-6</v>
      </c>
      <c r="M14" s="7">
        <v>2.01E-2</v>
      </c>
      <c r="N14" s="7">
        <v>5.2599999999999996E-6</v>
      </c>
      <c r="O14" s="7">
        <v>20700</v>
      </c>
      <c r="P14" s="7">
        <v>5.007E-12</v>
      </c>
      <c r="Q14" s="7">
        <v>69510000</v>
      </c>
      <c r="R14" s="7">
        <v>31090000</v>
      </c>
      <c r="S14" s="7">
        <v>63450000</v>
      </c>
      <c r="T14" s="11">
        <v>0.5</v>
      </c>
      <c r="U14" s="12" t="s">
        <v>86</v>
      </c>
      <c r="V14" s="13" t="s">
        <v>69</v>
      </c>
      <c r="W14" s="13">
        <v>0.73</v>
      </c>
      <c r="X14" s="13">
        <v>0.31</v>
      </c>
      <c r="Y14" s="13">
        <v>1.46</v>
      </c>
      <c r="Z14" s="13"/>
      <c r="AA14" s="7"/>
      <c r="AB14" s="7"/>
      <c r="AC14" s="7"/>
    </row>
    <row r="15" spans="1:29" s="5" customFormat="1" x14ac:dyDescent="0.2">
      <c r="A15" s="5">
        <v>14</v>
      </c>
      <c r="B15" t="s">
        <v>45</v>
      </c>
      <c r="C15" s="5">
        <v>200</v>
      </c>
      <c r="D15" s="5">
        <v>1800</v>
      </c>
      <c r="E15" s="5">
        <v>3.1</v>
      </c>
      <c r="F15" s="5">
        <v>31</v>
      </c>
      <c r="G15" s="23">
        <v>28</v>
      </c>
      <c r="H15" s="9">
        <v>-22</v>
      </c>
      <c r="I15" s="5">
        <v>1.0202</v>
      </c>
      <c r="J15" s="7">
        <v>25.8</v>
      </c>
      <c r="K15" s="6">
        <v>2660</v>
      </c>
      <c r="L15" s="7">
        <v>2.5999999999999998E-4</v>
      </c>
      <c r="M15" s="7">
        <v>4.8000000000000001E-2</v>
      </c>
      <c r="N15" s="7">
        <v>7.8399999999999995E-6</v>
      </c>
      <c r="O15" s="7">
        <v>15.96</v>
      </c>
      <c r="P15" s="7">
        <v>1.7E-6</v>
      </c>
      <c r="Q15" s="7">
        <v>119300</v>
      </c>
      <c r="R15" s="7">
        <v>53340</v>
      </c>
      <c r="S15" s="7">
        <v>108900</v>
      </c>
      <c r="T15" s="9">
        <v>1</v>
      </c>
      <c r="U15" s="12" t="s">
        <v>200</v>
      </c>
      <c r="V15" s="7"/>
      <c r="W15" s="7"/>
      <c r="X15" s="7"/>
      <c r="Y15" s="7"/>
      <c r="Z15" s="7" t="s">
        <v>69</v>
      </c>
      <c r="AA15" s="7">
        <v>4.0000000000000001E-3</v>
      </c>
      <c r="AB15" s="7">
        <v>4.0000000000000001E-3</v>
      </c>
      <c r="AC15" s="7">
        <v>4.0000000000000001E-3</v>
      </c>
    </row>
    <row r="16" spans="1:29" s="5" customFormat="1" x14ac:dyDescent="0.2">
      <c r="A16" s="5">
        <v>15</v>
      </c>
      <c r="B16" t="s">
        <v>46</v>
      </c>
      <c r="C16" s="5">
        <v>210</v>
      </c>
      <c r="D16" s="5">
        <v>2100</v>
      </c>
      <c r="E16" s="5">
        <v>8.5</v>
      </c>
      <c r="F16" s="5">
        <v>85</v>
      </c>
      <c r="G16" s="23">
        <v>28</v>
      </c>
      <c r="H16" s="9">
        <v>34.4</v>
      </c>
      <c r="I16" s="5">
        <v>1.0058</v>
      </c>
      <c r="J16" s="7">
        <v>24.6</v>
      </c>
      <c r="K16" s="6">
        <v>7500</v>
      </c>
      <c r="L16" s="7">
        <v>5.1800000000000001E-4</v>
      </c>
      <c r="M16" s="7">
        <v>4.8000000000000001E-2</v>
      </c>
      <c r="N16" s="7">
        <v>7.8399999999999995E-6</v>
      </c>
      <c r="O16" s="7">
        <v>45</v>
      </c>
      <c r="P16" s="7">
        <v>1.2049999999999999E-6</v>
      </c>
      <c r="Q16" s="7">
        <v>141700</v>
      </c>
      <c r="R16" s="7">
        <v>63360</v>
      </c>
      <c r="S16" s="7">
        <v>129300</v>
      </c>
      <c r="T16" s="9">
        <v>1</v>
      </c>
      <c r="U16" s="12" t="s">
        <v>200</v>
      </c>
      <c r="V16" s="7"/>
      <c r="W16" s="7"/>
      <c r="X16" s="7"/>
      <c r="Y16" s="7"/>
      <c r="Z16" s="7" t="s">
        <v>69</v>
      </c>
      <c r="AA16" s="7">
        <v>4.0000000000000001E-3</v>
      </c>
      <c r="AB16" s="7">
        <v>4.0000000000000001E-3</v>
      </c>
      <c r="AC16" s="7">
        <v>4.0000000000000001E-3</v>
      </c>
    </row>
    <row r="17" spans="1:29" s="5" customFormat="1" x14ac:dyDescent="0.2">
      <c r="A17" s="5">
        <v>16</v>
      </c>
      <c r="B17" t="s">
        <v>47</v>
      </c>
      <c r="C17" s="5">
        <v>55</v>
      </c>
      <c r="D17" s="5">
        <v>300</v>
      </c>
      <c r="E17" s="5">
        <v>1.2</v>
      </c>
      <c r="F17" s="5">
        <v>12</v>
      </c>
      <c r="G17" s="23">
        <v>14</v>
      </c>
      <c r="H17" s="9">
        <v>80.2</v>
      </c>
      <c r="I17" s="5">
        <v>1.0253000000000001</v>
      </c>
      <c r="J17" s="7">
        <v>31</v>
      </c>
      <c r="K17" s="6">
        <v>2000</v>
      </c>
      <c r="L17" s="7">
        <v>4.8299999999999998E-4</v>
      </c>
      <c r="M17" s="7">
        <v>5.8999999999999997E-2</v>
      </c>
      <c r="N17" s="7">
        <v>7.5000000000000002E-6</v>
      </c>
      <c r="O17" s="7">
        <v>12</v>
      </c>
      <c r="P17" s="7">
        <v>5.147E-6</v>
      </c>
      <c r="Q17" s="7">
        <v>68560</v>
      </c>
      <c r="R17" s="7">
        <v>30660</v>
      </c>
      <c r="S17" s="7">
        <v>62590</v>
      </c>
      <c r="T17" s="9">
        <v>1</v>
      </c>
      <c r="U17" s="12" t="s">
        <v>200</v>
      </c>
      <c r="V17" s="7"/>
      <c r="W17" s="7"/>
      <c r="X17" s="7"/>
      <c r="Y17" s="7"/>
      <c r="Z17" s="7">
        <v>3.0000000000000001E-3</v>
      </c>
      <c r="AA17" s="7">
        <v>0.02</v>
      </c>
      <c r="AB17" s="7">
        <v>8.5709999999999996E-4</v>
      </c>
      <c r="AC17" s="7">
        <v>0.02</v>
      </c>
    </row>
    <row r="18" spans="1:29" s="5" customFormat="1" x14ac:dyDescent="0.2">
      <c r="A18" s="5">
        <v>17</v>
      </c>
      <c r="B18" t="s">
        <v>48</v>
      </c>
      <c r="C18" s="5">
        <v>2200</v>
      </c>
      <c r="D18" s="5">
        <v>36000</v>
      </c>
      <c r="E18" s="5">
        <v>250</v>
      </c>
      <c r="F18" s="5">
        <v>2500</v>
      </c>
      <c r="G18" s="23">
        <v>210</v>
      </c>
      <c r="H18" s="9">
        <v>99.2</v>
      </c>
      <c r="I18" s="5">
        <v>0.98</v>
      </c>
      <c r="J18" s="7">
        <v>1.1499999999999999</v>
      </c>
      <c r="K18" s="6">
        <v>29500</v>
      </c>
      <c r="L18" s="7">
        <v>2.3300000000000001E-5</v>
      </c>
      <c r="M18" s="7">
        <v>3.3300000000000003E-2</v>
      </c>
      <c r="N18" s="7">
        <v>7.4699999999999996E-6</v>
      </c>
      <c r="O18" s="7">
        <v>177</v>
      </c>
      <c r="P18" s="7">
        <v>9.8380000000000001E-9</v>
      </c>
      <c r="Q18" s="7">
        <v>1568000</v>
      </c>
      <c r="R18" s="7">
        <v>701300</v>
      </c>
      <c r="S18" s="7">
        <v>1432000</v>
      </c>
      <c r="T18" s="9">
        <v>0.5</v>
      </c>
      <c r="U18" s="5" t="s">
        <v>69</v>
      </c>
      <c r="V18" s="7"/>
      <c r="W18" s="7"/>
      <c r="X18" s="7"/>
      <c r="Y18" s="7"/>
      <c r="Z18" s="7" t="s">
        <v>69</v>
      </c>
      <c r="AA18" s="7">
        <v>0.03</v>
      </c>
      <c r="AB18" s="7">
        <v>1.4999999999999999E-2</v>
      </c>
      <c r="AC18" s="7">
        <v>1.4999999999999999E-2</v>
      </c>
    </row>
    <row r="19" spans="1:29" s="5" customFormat="1" x14ac:dyDescent="0.2">
      <c r="A19" s="5">
        <v>18</v>
      </c>
      <c r="B19" t="s">
        <v>49</v>
      </c>
      <c r="C19" s="5">
        <v>2400</v>
      </c>
      <c r="D19" s="5">
        <v>45000</v>
      </c>
      <c r="E19" s="5">
        <v>880</v>
      </c>
      <c r="F19" s="5">
        <v>8800</v>
      </c>
      <c r="G19" s="23">
        <v>210</v>
      </c>
      <c r="H19" s="9">
        <v>151.19999999999999</v>
      </c>
      <c r="I19" s="5">
        <v>1.2709999999999999</v>
      </c>
      <c r="J19" s="7">
        <v>0.13500000000000001</v>
      </c>
      <c r="K19" s="6">
        <v>105000</v>
      </c>
      <c r="L19" s="7">
        <v>1.1E-5</v>
      </c>
      <c r="M19" s="7">
        <v>2.7699999999999999E-2</v>
      </c>
      <c r="N19" s="7">
        <v>7.2479999999999999E-6</v>
      </c>
      <c r="O19" s="7">
        <v>630</v>
      </c>
      <c r="P19" s="7">
        <v>1.1289999999999999E-9</v>
      </c>
      <c r="Q19" s="7">
        <v>4629000</v>
      </c>
      <c r="R19" s="7">
        <v>2070000</v>
      </c>
      <c r="S19" s="7">
        <v>4225000</v>
      </c>
      <c r="T19" s="9">
        <v>0.5</v>
      </c>
      <c r="U19" s="5" t="s">
        <v>69</v>
      </c>
      <c r="V19" s="7"/>
      <c r="W19" s="7"/>
      <c r="X19" s="7"/>
      <c r="Y19" s="7"/>
      <c r="Z19" s="7" t="s">
        <v>69</v>
      </c>
      <c r="AA19" s="7">
        <v>0.03</v>
      </c>
      <c r="AB19" s="7">
        <v>1.4999999999999999E-2</v>
      </c>
      <c r="AC19" s="7">
        <v>1.4999999999999999E-2</v>
      </c>
    </row>
    <row r="20" spans="1:29" s="5" customFormat="1" x14ac:dyDescent="0.2">
      <c r="A20" s="5">
        <v>19</v>
      </c>
      <c r="B20" t="s">
        <v>50</v>
      </c>
      <c r="C20" s="5">
        <v>1.2</v>
      </c>
      <c r="D20" s="5">
        <v>1.7</v>
      </c>
      <c r="E20" s="5">
        <v>7.0000000000000001E-3</v>
      </c>
      <c r="F20" s="5">
        <v>7.0000000000000007E-2</v>
      </c>
      <c r="G20" s="23">
        <v>1</v>
      </c>
      <c r="H20" s="9">
        <v>5.5</v>
      </c>
      <c r="I20" s="5">
        <v>0.87649999999999995</v>
      </c>
      <c r="J20" s="7">
        <v>1750</v>
      </c>
      <c r="K20" s="6">
        <v>59</v>
      </c>
      <c r="L20" s="7">
        <v>5.5500000000000002E-3</v>
      </c>
      <c r="M20" s="7">
        <v>8.7999999999999995E-2</v>
      </c>
      <c r="N20" s="7">
        <v>1.0200000000000001E-5</v>
      </c>
      <c r="O20" s="7">
        <v>0.35399999999999998</v>
      </c>
      <c r="P20" s="7">
        <v>2.1459999999999999E-3</v>
      </c>
      <c r="Q20" s="7">
        <v>3357</v>
      </c>
      <c r="R20" s="7">
        <v>1501</v>
      </c>
      <c r="S20" s="7">
        <v>3065</v>
      </c>
      <c r="T20" s="11">
        <v>0.9</v>
      </c>
      <c r="U20" s="12" t="s">
        <v>84</v>
      </c>
      <c r="V20" s="13">
        <v>7.7999999999999999E-6</v>
      </c>
      <c r="W20" s="13">
        <v>5.5E-2</v>
      </c>
      <c r="X20" s="13">
        <v>2.7300000000000001E-2</v>
      </c>
      <c r="Y20" s="13">
        <v>6.1109999999999998E-2</v>
      </c>
      <c r="Z20" s="21">
        <v>0.03</v>
      </c>
      <c r="AA20" s="21">
        <v>4.0000000000000001E-3</v>
      </c>
      <c r="AB20" s="21">
        <v>8.5710000000000005E-3</v>
      </c>
      <c r="AC20" s="21">
        <v>3.5999999999999999E-3</v>
      </c>
    </row>
    <row r="21" spans="1:29" s="5" customFormat="1" x14ac:dyDescent="0.2">
      <c r="A21" s="5">
        <v>20</v>
      </c>
      <c r="B21" t="s">
        <v>51</v>
      </c>
      <c r="C21" s="5">
        <v>1500</v>
      </c>
      <c r="D21" s="5">
        <v>9200</v>
      </c>
      <c r="E21" s="5">
        <v>0.6</v>
      </c>
      <c r="F21" s="5">
        <v>6</v>
      </c>
      <c r="G21" s="23">
        <v>30</v>
      </c>
      <c r="H21" s="9">
        <v>-94.9</v>
      </c>
      <c r="I21" s="5">
        <v>0.86699999999999999</v>
      </c>
      <c r="J21" s="7">
        <v>169</v>
      </c>
      <c r="K21" s="6">
        <v>363</v>
      </c>
      <c r="L21" s="7">
        <v>7.8799999999999999E-3</v>
      </c>
      <c r="M21" s="7">
        <v>7.4999999999999997E-2</v>
      </c>
      <c r="N21" s="7">
        <v>7.7999999999999999E-6</v>
      </c>
      <c r="O21" s="7">
        <v>2.1779999999999999</v>
      </c>
      <c r="P21" s="7">
        <v>5.5190000000000003E-4</v>
      </c>
      <c r="Q21" s="7">
        <v>6621</v>
      </c>
      <c r="R21" s="7">
        <v>2961</v>
      </c>
      <c r="S21" s="7">
        <v>6044</v>
      </c>
      <c r="T21" s="11">
        <v>1</v>
      </c>
      <c r="U21" s="12" t="s">
        <v>87</v>
      </c>
      <c r="V21" s="13" t="s">
        <v>69</v>
      </c>
      <c r="W21" s="13"/>
      <c r="X21" s="13">
        <v>3.8500000000000001E-3</v>
      </c>
      <c r="Y21" s="13">
        <v>3.8500000000000001E-3</v>
      </c>
      <c r="Z21" s="21">
        <v>1</v>
      </c>
      <c r="AA21" s="21">
        <v>0.1</v>
      </c>
      <c r="AB21" s="21">
        <v>0.28570000000000001</v>
      </c>
      <c r="AC21" s="21">
        <v>0.28570000000000001</v>
      </c>
    </row>
    <row r="22" spans="1:29" s="5" customFormat="1" x14ac:dyDescent="0.2">
      <c r="A22" s="5">
        <v>21</v>
      </c>
      <c r="B22" t="s">
        <v>52</v>
      </c>
      <c r="C22" s="5">
        <v>7500</v>
      </c>
      <c r="D22" s="5">
        <v>60000</v>
      </c>
      <c r="E22" s="5">
        <v>0.5</v>
      </c>
      <c r="F22" s="5">
        <v>5</v>
      </c>
      <c r="G22" s="23">
        <v>40</v>
      </c>
      <c r="H22" s="9">
        <v>-94.9</v>
      </c>
      <c r="I22" s="5">
        <v>0.8669</v>
      </c>
      <c r="J22" s="7">
        <v>526</v>
      </c>
      <c r="K22" s="6">
        <v>182</v>
      </c>
      <c r="L22" s="7">
        <v>6.6400000000000001E-3</v>
      </c>
      <c r="M22" s="7">
        <v>8.6999999999999994E-2</v>
      </c>
      <c r="N22" s="7">
        <v>8.6000000000000007E-6</v>
      </c>
      <c r="O22" s="7">
        <v>1.0920000000000001</v>
      </c>
      <c r="P22" s="7">
        <v>1.0150000000000001E-3</v>
      </c>
      <c r="Q22" s="7">
        <v>4883</v>
      </c>
      <c r="R22" s="7">
        <v>2184</v>
      </c>
      <c r="S22" s="7">
        <v>4457</v>
      </c>
      <c r="T22" s="9">
        <v>1</v>
      </c>
      <c r="U22" s="5" t="s">
        <v>69</v>
      </c>
      <c r="V22" s="7"/>
      <c r="W22" s="7"/>
      <c r="X22" s="7"/>
      <c r="Y22" s="7"/>
      <c r="Z22" s="7">
        <v>10</v>
      </c>
      <c r="AA22" s="7">
        <v>0.2</v>
      </c>
      <c r="AB22" s="7">
        <v>2.8570000000000002</v>
      </c>
      <c r="AC22" s="7">
        <v>0.2</v>
      </c>
    </row>
    <row r="23" spans="1:29" s="5" customFormat="1" x14ac:dyDescent="0.2">
      <c r="A23" s="5">
        <v>22</v>
      </c>
      <c r="B23" t="s">
        <v>53</v>
      </c>
      <c r="C23" s="5">
        <v>130</v>
      </c>
      <c r="D23" s="5">
        <v>700</v>
      </c>
      <c r="E23" s="5">
        <v>0.2</v>
      </c>
      <c r="F23" s="5">
        <v>2</v>
      </c>
      <c r="G23" s="23">
        <v>20</v>
      </c>
      <c r="H23" s="9">
        <v>-19.86</v>
      </c>
      <c r="I23" s="5">
        <v>0.86399999999999999</v>
      </c>
      <c r="J23" s="7">
        <v>130</v>
      </c>
      <c r="K23" s="6">
        <v>153</v>
      </c>
      <c r="L23" s="7">
        <v>7.0000000000000001E-3</v>
      </c>
      <c r="M23" s="7">
        <v>7.1400000000000005E-2</v>
      </c>
      <c r="N23" s="7">
        <v>9.3400000000000004E-6</v>
      </c>
      <c r="O23" s="7">
        <v>0.91800000000000004</v>
      </c>
      <c r="P23" s="7">
        <v>1.018E-3</v>
      </c>
      <c r="Q23" s="7">
        <v>4874</v>
      </c>
      <c r="R23" s="7">
        <v>2180</v>
      </c>
      <c r="S23" s="7">
        <v>4450</v>
      </c>
      <c r="T23" s="9">
        <v>0.89500000000000002</v>
      </c>
      <c r="U23" s="5" t="s">
        <v>69</v>
      </c>
      <c r="V23" s="7"/>
      <c r="W23" s="7"/>
      <c r="X23" s="7"/>
      <c r="Y23" s="7"/>
      <c r="Z23" s="7">
        <v>0.1</v>
      </c>
      <c r="AA23" s="7">
        <v>0.2</v>
      </c>
      <c r="AB23" s="7">
        <v>2.8570000000000002E-2</v>
      </c>
      <c r="AC23" s="7">
        <v>0.17899999999999999</v>
      </c>
    </row>
    <row r="24" spans="1:29" s="5" customFormat="1" x14ac:dyDescent="0.2">
      <c r="A24" s="5">
        <v>23</v>
      </c>
      <c r="B24" t="s">
        <v>54</v>
      </c>
      <c r="C24" s="5">
        <v>0.01</v>
      </c>
      <c r="D24" s="5">
        <v>0.05</v>
      </c>
      <c r="E24" s="5">
        <v>1E-4</v>
      </c>
      <c r="F24" s="5">
        <v>1E-3</v>
      </c>
      <c r="G24" s="23">
        <v>0.02</v>
      </c>
      <c r="H24" s="9">
        <v>9.9</v>
      </c>
      <c r="I24" s="5">
        <v>2.1791</v>
      </c>
      <c r="J24" s="7">
        <v>4180</v>
      </c>
      <c r="K24" s="6">
        <v>42.6</v>
      </c>
      <c r="L24" s="7">
        <v>7.4299999999999995E-4</v>
      </c>
      <c r="M24" s="7">
        <v>2.87E-2</v>
      </c>
      <c r="N24" s="7">
        <v>8.0600000000000008E-6</v>
      </c>
      <c r="O24" s="7">
        <v>0.25559999999999999</v>
      </c>
      <c r="P24" s="7">
        <v>1.2899999999999999E-4</v>
      </c>
      <c r="Q24" s="7">
        <v>13690</v>
      </c>
      <c r="R24" s="7">
        <v>6123</v>
      </c>
      <c r="S24" s="7">
        <v>12500</v>
      </c>
      <c r="T24" s="11">
        <v>0.98</v>
      </c>
      <c r="U24" s="12" t="s">
        <v>86</v>
      </c>
      <c r="V24" s="13">
        <v>2.2000000000000001E-4</v>
      </c>
      <c r="W24" s="13">
        <v>85</v>
      </c>
      <c r="X24" s="13">
        <v>0.77</v>
      </c>
      <c r="Y24" s="13">
        <v>86.73</v>
      </c>
      <c r="Z24" s="13"/>
      <c r="AA24" s="7"/>
      <c r="AB24" s="7"/>
      <c r="AC24" s="7"/>
    </row>
    <row r="25" spans="1:29" s="5" customFormat="1" x14ac:dyDescent="0.2">
      <c r="A25" s="5">
        <v>24</v>
      </c>
      <c r="B25" t="s">
        <v>55</v>
      </c>
      <c r="C25" s="5">
        <v>0.5</v>
      </c>
      <c r="D25" s="5">
        <v>0.7</v>
      </c>
      <c r="E25" s="5">
        <v>0.01</v>
      </c>
      <c r="F25" s="5">
        <v>0.1</v>
      </c>
      <c r="G25" s="23">
        <v>3</v>
      </c>
      <c r="H25" s="9">
        <v>-35.5</v>
      </c>
      <c r="I25" s="5">
        <v>1.2351000000000001</v>
      </c>
      <c r="J25" s="7">
        <v>8520</v>
      </c>
      <c r="K25" s="6">
        <v>17.399999999999999</v>
      </c>
      <c r="L25" s="7">
        <v>9.7900000000000005E-4</v>
      </c>
      <c r="M25" s="7">
        <v>0.104</v>
      </c>
      <c r="N25" s="7">
        <v>9.9000000000000001E-6</v>
      </c>
      <c r="O25" s="7">
        <v>0.10440000000000001</v>
      </c>
      <c r="P25" s="7">
        <v>1.049E-3</v>
      </c>
      <c r="Q25" s="7">
        <v>4801</v>
      </c>
      <c r="R25" s="7">
        <v>2147</v>
      </c>
      <c r="S25" s="7">
        <v>4383</v>
      </c>
      <c r="T25" s="11">
        <v>1</v>
      </c>
      <c r="U25" s="12" t="s">
        <v>86</v>
      </c>
      <c r="V25" s="13">
        <v>2.5999999999999998E-5</v>
      </c>
      <c r="W25" s="13">
        <v>9.0999999999999998E-2</v>
      </c>
      <c r="X25" s="13">
        <v>9.0999999999999998E-2</v>
      </c>
      <c r="Y25" s="13">
        <v>9.0999999999999998E-2</v>
      </c>
      <c r="Z25" s="13"/>
      <c r="AA25" s="7"/>
      <c r="AB25" s="7"/>
      <c r="AC25" s="7"/>
    </row>
    <row r="26" spans="1:29" s="5" customFormat="1" x14ac:dyDescent="0.2">
      <c r="A26" s="5">
        <v>25</v>
      </c>
      <c r="B26" t="s">
        <v>56</v>
      </c>
      <c r="C26" s="5">
        <v>4400</v>
      </c>
      <c r="D26" s="5">
        <v>24000</v>
      </c>
      <c r="E26" s="5">
        <v>0.09</v>
      </c>
      <c r="F26" s="5">
        <v>0.9</v>
      </c>
      <c r="G26" s="23">
        <v>20</v>
      </c>
      <c r="H26" s="9">
        <v>-109</v>
      </c>
      <c r="I26" s="5">
        <v>0.74050000000000005</v>
      </c>
      <c r="J26" s="7">
        <v>51000</v>
      </c>
      <c r="K26" s="6">
        <v>11.2</v>
      </c>
      <c r="L26" s="7">
        <v>5.8699999999999996E-4</v>
      </c>
      <c r="M26" s="7">
        <v>0.1024</v>
      </c>
      <c r="N26" s="7">
        <v>1.0499999999999999E-5</v>
      </c>
      <c r="O26" s="7">
        <v>6.7199999999999996E-2</v>
      </c>
      <c r="P26" s="7">
        <v>7.6480000000000005E-4</v>
      </c>
      <c r="Q26" s="7">
        <v>5624</v>
      </c>
      <c r="R26" s="7">
        <v>2515</v>
      </c>
      <c r="S26" s="7">
        <v>5134</v>
      </c>
      <c r="T26" s="9">
        <v>1</v>
      </c>
      <c r="U26" s="5" t="s">
        <v>69</v>
      </c>
      <c r="V26" s="7"/>
      <c r="W26" s="7"/>
      <c r="X26" s="7"/>
      <c r="Y26" s="7"/>
      <c r="Z26" s="7">
        <v>3</v>
      </c>
      <c r="AA26" s="7">
        <v>0.85709999999999997</v>
      </c>
      <c r="AB26" s="7">
        <v>0.85709999999999997</v>
      </c>
      <c r="AC26" s="7">
        <v>0.85709999999999997</v>
      </c>
    </row>
    <row r="27" spans="1:29" s="5" customFormat="1" x14ac:dyDescent="0.2">
      <c r="A27" s="5">
        <v>26</v>
      </c>
      <c r="B27" t="s">
        <v>57</v>
      </c>
      <c r="C27" s="5">
        <v>460</v>
      </c>
      <c r="D27" s="5">
        <v>2700</v>
      </c>
      <c r="E27" s="5">
        <v>340</v>
      </c>
      <c r="F27" s="5">
        <v>3400</v>
      </c>
      <c r="G27" s="23">
        <v>5000</v>
      </c>
      <c r="H27" s="9">
        <v>999</v>
      </c>
      <c r="I27" s="5" t="s">
        <v>69</v>
      </c>
      <c r="J27" s="7">
        <v>65</v>
      </c>
      <c r="K27" s="6">
        <v>1580</v>
      </c>
      <c r="L27" s="7">
        <v>1.17E-2</v>
      </c>
      <c r="M27" s="7">
        <v>0.1</v>
      </c>
      <c r="N27" s="7">
        <v>1.0000000000000001E-5</v>
      </c>
      <c r="O27" s="7">
        <v>9.48</v>
      </c>
      <c r="P27" s="7">
        <v>2.6429999999999997E-4</v>
      </c>
      <c r="Q27" s="7">
        <v>9568</v>
      </c>
      <c r="R27" s="7">
        <v>4279</v>
      </c>
      <c r="S27" s="7">
        <v>8734</v>
      </c>
      <c r="T27" s="9">
        <v>5</v>
      </c>
      <c r="U27" s="5" t="s">
        <v>69</v>
      </c>
      <c r="V27" s="7"/>
      <c r="W27" s="7"/>
      <c r="X27" s="7"/>
      <c r="Y27" s="7"/>
      <c r="Z27" s="7">
        <v>0.2</v>
      </c>
      <c r="AA27" s="7">
        <v>0.04</v>
      </c>
      <c r="AB27" s="7">
        <v>5.7140000000000003E-2</v>
      </c>
      <c r="AC27" s="7">
        <v>0.2</v>
      </c>
    </row>
    <row r="28" spans="1:29" s="5" customFormat="1" x14ac:dyDescent="0.2">
      <c r="A28" s="5">
        <v>27</v>
      </c>
      <c r="B28" t="s">
        <v>58</v>
      </c>
      <c r="C28" s="5">
        <v>2.1</v>
      </c>
      <c r="D28" s="5">
        <v>12</v>
      </c>
      <c r="E28" s="5" t="s">
        <v>70</v>
      </c>
      <c r="F28" s="5" t="s">
        <v>70</v>
      </c>
      <c r="G28" s="23">
        <v>10</v>
      </c>
      <c r="H28" s="9">
        <v>817</v>
      </c>
      <c r="I28" s="5">
        <v>5.7270000000000003</v>
      </c>
      <c r="J28" s="7">
        <v>0</v>
      </c>
      <c r="K28" s="6" t="s">
        <v>69</v>
      </c>
      <c r="L28" s="6" t="s">
        <v>69</v>
      </c>
      <c r="M28" s="7">
        <v>0.29520000000000002</v>
      </c>
      <c r="N28" s="7">
        <v>3.2450000000000003E-5</v>
      </c>
      <c r="O28" s="7">
        <v>29</v>
      </c>
      <c r="P28" s="7">
        <v>7.0800000000000004E-9</v>
      </c>
      <c r="Q28" s="7" t="s">
        <v>69</v>
      </c>
      <c r="R28" s="7" t="s">
        <v>69</v>
      </c>
      <c r="S28" s="7" t="s">
        <v>69</v>
      </c>
      <c r="T28" s="11">
        <v>0.95</v>
      </c>
      <c r="U28" s="12" t="s">
        <v>84</v>
      </c>
      <c r="V28" s="13">
        <v>4.3E-3</v>
      </c>
      <c r="W28" s="13">
        <v>1.5</v>
      </c>
      <c r="X28" s="13">
        <v>15.05</v>
      </c>
      <c r="Y28" s="13">
        <v>1.579</v>
      </c>
      <c r="Z28" s="21" t="s">
        <v>69</v>
      </c>
      <c r="AA28" s="21">
        <v>2.9999999999999997E-4</v>
      </c>
      <c r="AB28" s="21">
        <v>2.8499999999999999E-4</v>
      </c>
      <c r="AC28" s="21">
        <v>2.8499999999999999E-4</v>
      </c>
    </row>
    <row r="29" spans="1:29" s="5" customFormat="1" x14ac:dyDescent="0.2">
      <c r="A29" s="5">
        <v>28</v>
      </c>
      <c r="B29" t="s">
        <v>59</v>
      </c>
      <c r="C29" s="5">
        <v>82</v>
      </c>
      <c r="D29" s="5">
        <v>1700</v>
      </c>
      <c r="E29" s="5">
        <v>7.5</v>
      </c>
      <c r="F29" s="5">
        <v>75</v>
      </c>
      <c r="G29" s="23">
        <v>5</v>
      </c>
      <c r="H29" s="9">
        <v>321</v>
      </c>
      <c r="I29" s="5">
        <v>8.65</v>
      </c>
      <c r="J29" s="7">
        <v>0</v>
      </c>
      <c r="K29" s="6" t="s">
        <v>69</v>
      </c>
      <c r="L29" s="6" t="s">
        <v>69</v>
      </c>
      <c r="M29" s="7">
        <v>2.981E-2</v>
      </c>
      <c r="N29" s="7">
        <v>3.2580000000000003E-5</v>
      </c>
      <c r="O29" s="7">
        <v>75</v>
      </c>
      <c r="P29" s="7">
        <v>2.7539999999999998E-9</v>
      </c>
      <c r="Q29" s="7" t="s">
        <v>69</v>
      </c>
      <c r="R29" s="7" t="s">
        <v>69</v>
      </c>
      <c r="S29" s="7" t="s">
        <v>69</v>
      </c>
      <c r="T29" s="11">
        <v>4.3999999999999997E-2</v>
      </c>
      <c r="U29" s="12" t="s">
        <v>85</v>
      </c>
      <c r="V29" s="13">
        <v>1.8E-3</v>
      </c>
      <c r="W29" s="13" t="s">
        <v>69</v>
      </c>
      <c r="X29" s="13">
        <v>6.3</v>
      </c>
      <c r="Y29" s="13" t="s">
        <v>69</v>
      </c>
      <c r="Z29" s="21" t="s">
        <v>69</v>
      </c>
      <c r="AA29" s="21">
        <v>1E-3</v>
      </c>
      <c r="AB29" s="21">
        <v>5.7000000000000003E-5</v>
      </c>
      <c r="AC29" s="21">
        <v>4.3999999999999999E-5</v>
      </c>
    </row>
    <row r="30" spans="1:29" s="5" customFormat="1" x14ac:dyDescent="0.2">
      <c r="A30" s="5">
        <v>29</v>
      </c>
      <c r="B30" t="s">
        <v>60</v>
      </c>
      <c r="C30" s="5">
        <v>210</v>
      </c>
      <c r="D30" s="5">
        <v>470</v>
      </c>
      <c r="E30" s="5" t="s">
        <v>69</v>
      </c>
      <c r="F30" s="5" t="s">
        <v>69</v>
      </c>
      <c r="G30" s="23">
        <v>100</v>
      </c>
      <c r="H30" s="9">
        <v>1900</v>
      </c>
      <c r="I30" s="5">
        <v>7.1</v>
      </c>
      <c r="J30" s="7">
        <v>0</v>
      </c>
      <c r="K30" s="6" t="s">
        <v>69</v>
      </c>
      <c r="L30" s="6" t="s">
        <v>69</v>
      </c>
      <c r="M30" s="7">
        <v>0.39779999999999999</v>
      </c>
      <c r="N30" s="7">
        <v>4.596E-5</v>
      </c>
      <c r="O30" s="7">
        <v>19</v>
      </c>
      <c r="P30" s="7">
        <v>1.5279999999999999E-8</v>
      </c>
      <c r="Q30" s="7" t="s">
        <v>69</v>
      </c>
      <c r="R30" s="7" t="s">
        <v>69</v>
      </c>
      <c r="S30" s="7" t="s">
        <v>69</v>
      </c>
      <c r="T30" s="11">
        <v>1.2999999999999999E-2</v>
      </c>
      <c r="U30" s="12" t="s">
        <v>84</v>
      </c>
      <c r="V30" s="13">
        <v>1.2E-2</v>
      </c>
      <c r="W30" s="13" t="s">
        <v>69</v>
      </c>
      <c r="X30" s="13">
        <v>41</v>
      </c>
      <c r="Y30" s="13" t="s">
        <v>69</v>
      </c>
      <c r="Z30" s="21">
        <v>7.9999999999999996E-6</v>
      </c>
      <c r="AA30" s="21">
        <v>3.0000000000000001E-3</v>
      </c>
      <c r="AB30" s="21">
        <v>2.2859999999999998E-6</v>
      </c>
      <c r="AC30" s="21">
        <v>3.8999999999999999E-5</v>
      </c>
    </row>
    <row r="31" spans="1:29" s="5" customFormat="1" x14ac:dyDescent="0.2">
      <c r="A31" s="5">
        <v>30</v>
      </c>
      <c r="B31" t="s">
        <v>61</v>
      </c>
      <c r="C31" s="5">
        <v>210</v>
      </c>
      <c r="D31" s="5">
        <v>470</v>
      </c>
      <c r="E31" s="5">
        <v>38</v>
      </c>
      <c r="F31" s="5">
        <v>380</v>
      </c>
      <c r="G31" s="23">
        <v>100</v>
      </c>
      <c r="H31" s="9">
        <v>999</v>
      </c>
      <c r="I31" s="5" t="s">
        <v>69</v>
      </c>
      <c r="J31" s="7" t="s">
        <v>69</v>
      </c>
      <c r="K31" s="6" t="s">
        <v>69</v>
      </c>
      <c r="L31" s="6" t="s">
        <v>69</v>
      </c>
      <c r="M31" s="7">
        <v>0</v>
      </c>
      <c r="N31" s="7">
        <v>0</v>
      </c>
      <c r="O31" s="7">
        <v>19</v>
      </c>
      <c r="P31" s="7">
        <v>0</v>
      </c>
      <c r="Q31" s="7" t="s">
        <v>69</v>
      </c>
      <c r="R31" s="7" t="s">
        <v>69</v>
      </c>
      <c r="S31" s="7" t="s">
        <v>69</v>
      </c>
      <c r="T31" s="9" t="s">
        <v>69</v>
      </c>
      <c r="U31" s="18" t="s">
        <v>69</v>
      </c>
      <c r="V31" s="18"/>
      <c r="W31" s="18"/>
      <c r="X31" s="18"/>
      <c r="Y31" s="18"/>
      <c r="Z31" s="18" t="s">
        <v>69</v>
      </c>
      <c r="AA31" s="19" t="s">
        <v>69</v>
      </c>
      <c r="AB31" s="19" t="s">
        <v>69</v>
      </c>
      <c r="AC31" s="19" t="s">
        <v>69</v>
      </c>
    </row>
    <row r="32" spans="1:29" s="5" customFormat="1" x14ac:dyDescent="0.2">
      <c r="A32" s="5">
        <v>31</v>
      </c>
      <c r="B32" t="s">
        <v>62</v>
      </c>
      <c r="C32" s="5">
        <v>110000</v>
      </c>
      <c r="E32" s="5" t="s">
        <v>69</v>
      </c>
      <c r="F32" s="5" t="s">
        <v>69</v>
      </c>
      <c r="G32" s="23">
        <v>100</v>
      </c>
      <c r="H32" s="9">
        <v>1900</v>
      </c>
      <c r="I32" s="5">
        <v>7.1</v>
      </c>
      <c r="J32" s="7">
        <v>0</v>
      </c>
      <c r="K32" s="6" t="s">
        <v>69</v>
      </c>
      <c r="L32" s="6" t="s">
        <v>69</v>
      </c>
      <c r="M32" s="7">
        <v>0.39779999999999999</v>
      </c>
      <c r="N32" s="7">
        <v>4.596E-5</v>
      </c>
      <c r="O32" s="7">
        <v>1800000</v>
      </c>
      <c r="P32" s="7">
        <v>1.6210000000000001E-13</v>
      </c>
      <c r="Q32" s="7" t="s">
        <v>69</v>
      </c>
      <c r="R32" s="7" t="s">
        <v>69</v>
      </c>
      <c r="S32" s="7" t="s">
        <v>69</v>
      </c>
      <c r="T32" s="9">
        <v>1.2999999999999999E-2</v>
      </c>
      <c r="U32" s="18" t="s">
        <v>69</v>
      </c>
      <c r="V32" s="19"/>
      <c r="W32" s="19"/>
      <c r="X32" s="19"/>
      <c r="Y32" s="19"/>
      <c r="Z32" s="19" t="s">
        <v>69</v>
      </c>
      <c r="AA32" s="7">
        <v>1.5</v>
      </c>
      <c r="AB32" s="7">
        <v>1.95E-2</v>
      </c>
      <c r="AC32" s="7">
        <v>1.95E-2</v>
      </c>
    </row>
    <row r="33" spans="1:29" s="5" customFormat="1" x14ac:dyDescent="0.2">
      <c r="A33" s="5">
        <v>32</v>
      </c>
      <c r="B33" t="s">
        <v>63</v>
      </c>
      <c r="C33" s="5">
        <v>400</v>
      </c>
      <c r="D33" s="5">
        <v>1400</v>
      </c>
      <c r="E33" s="5" t="s">
        <v>70</v>
      </c>
      <c r="F33" s="5" t="s">
        <v>70</v>
      </c>
      <c r="G33" s="23">
        <v>15</v>
      </c>
      <c r="H33" s="9">
        <v>328</v>
      </c>
      <c r="I33" s="5">
        <v>11.3437</v>
      </c>
      <c r="J33" s="7">
        <v>0</v>
      </c>
      <c r="K33" s="6" t="s">
        <v>69</v>
      </c>
      <c r="L33" s="6" t="s">
        <v>69</v>
      </c>
      <c r="M33" s="7">
        <v>1.1220000000000001E-2</v>
      </c>
      <c r="N33" s="7">
        <v>2.656E-5</v>
      </c>
      <c r="O33" s="7">
        <v>14</v>
      </c>
      <c r="P33" s="7">
        <v>1.686E-6</v>
      </c>
      <c r="Q33" s="7" t="s">
        <v>69</v>
      </c>
      <c r="R33" s="7" t="s">
        <v>69</v>
      </c>
      <c r="S33" s="7" t="s">
        <v>69</v>
      </c>
      <c r="T33" s="9" t="s">
        <v>69</v>
      </c>
      <c r="U33" s="18" t="s">
        <v>69</v>
      </c>
      <c r="V33" s="18"/>
      <c r="W33" s="18"/>
      <c r="X33" s="18"/>
      <c r="Y33" s="18"/>
      <c r="Z33" s="18" t="s">
        <v>69</v>
      </c>
      <c r="AA33" s="19" t="s">
        <v>69</v>
      </c>
      <c r="AB33" s="19" t="s">
        <v>69</v>
      </c>
      <c r="AC33" s="19" t="s">
        <v>69</v>
      </c>
    </row>
  </sheetData>
  <sheetProtection sheet="1" objects="1" scenarios="1"/>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Leachability</vt:lpstr>
      <vt:lpstr>Direct Exposure</vt:lpstr>
      <vt:lpstr>Data Table</vt:lpstr>
      <vt:lpstr>'Direct Exposure'!Print_Area</vt:lpstr>
      <vt:lpstr>Instructions!Print_Area</vt:lpstr>
      <vt:lpstr>Leachability!Print_Area</vt:lpstr>
      <vt:lpstr>'Data Table'!Print_Titles</vt:lpstr>
    </vt:vector>
  </TitlesOfParts>
  <Company>Department of Environmental Protection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Alternative Soil Cleanup Target Level Calculation Spreadsheet</dc:title>
  <dc:creator>Cathcart_R</dc:creator>
  <cp:lastModifiedBy>Austin R. Manny</cp:lastModifiedBy>
  <cp:lastPrinted>2006-06-26T13:51:08Z</cp:lastPrinted>
  <dcterms:created xsi:type="dcterms:W3CDTF">2003-07-03T17:51:14Z</dcterms:created>
  <dcterms:modified xsi:type="dcterms:W3CDTF">2017-01-23T21:42:41Z</dcterms:modified>
</cp:coreProperties>
</file>