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fldep1\wra\SRF\COMMON\Website and Training-Informational Material\forms\"/>
    </mc:Choice>
  </mc:AlternateContent>
  <xr:revisionPtr revIDLastSave="0" documentId="13_ncr:1_{D93E68E5-C632-4538-ACA7-F5B44077CE1D}" xr6:coauthVersionLast="45" xr6:coauthVersionMax="45" xr10:uidLastSave="{00000000-0000-0000-0000-000000000000}"/>
  <bookViews>
    <workbookView xWindow="-120" yWindow="-120" windowWidth="29040" windowHeight="15840" tabRatio="942" activeTab="4" xr2:uid="{00000000-000D-0000-FFFF-FFFF00000000}"/>
  </bookViews>
  <sheets>
    <sheet name="Project Information" sheetId="7" r:id="rId1"/>
    <sheet name="Priority Score &amp; PF%" sheetId="11" r:id="rId2"/>
    <sheet name="Interest Rate" sheetId="10" r:id="rId3"/>
    <sheet name=" Planning &amp; Design Cost" sheetId="4" r:id="rId4"/>
    <sheet name=" Construction Cost" sheetId="2" r:id="rId5"/>
    <sheet name="Construction Cost Increase" sheetId="13" r:id="rId6"/>
    <sheet name="Final Project Costs" sheetId="17" r:id="rId7"/>
    <sheet name="Loan Amortization" sheetId="16" r:id="rId8"/>
  </sheets>
  <definedNames>
    <definedName name="Beg_Bal" localSheetId="7">'Loan Amortization'!$C$18:$C$377</definedName>
    <definedName name="Beg_Bal">#REF!</definedName>
    <definedName name="Cum_Int" localSheetId="7">'Loan Amortization'!$J$18:$J$377</definedName>
    <definedName name="Cum_Int">#REF!</definedName>
    <definedName name="Data" localSheetId="7">'Loan Amortization'!$A$18:$J$377</definedName>
    <definedName name="Data">#REF!</definedName>
    <definedName name="End_Bal" localSheetId="7">'Loan Amortization'!$I$18:$I$377</definedName>
    <definedName name="End_Bal">#REF!</definedName>
    <definedName name="Extra_Pay" localSheetId="7">'Loan Amortization'!$E$18:$E$377</definedName>
    <definedName name="Extra_Pay">#REF!</definedName>
    <definedName name="Full_Print" localSheetId="7">'Loan Amortization'!$A$1:$J$377</definedName>
    <definedName name="Full_Print">#REF!</definedName>
    <definedName name="Header_Row" localSheetId="7">ROW('Loan Amortization'!$17:$17)</definedName>
    <definedName name="Header_Row">ROW(#REF!)</definedName>
    <definedName name="Int" localSheetId="7">'Loan Amortization'!$H$18:$H$377</definedName>
    <definedName name="Int">#REF!</definedName>
    <definedName name="Interest_Rate" localSheetId="7">'Loan Amortization'!$D$6</definedName>
    <definedName name="Interest_Rate">#REF!</definedName>
    <definedName name="Last_Row" localSheetId="7">IF('Loan Amortization'!Values_Entered,'Loan Amortization'!Header_Row+'Loan Amortization'!Number_of_Payments,'Loan Amortization'!Header_Row)</definedName>
    <definedName name="Last_Row">IF(Values_Entered,Header_Row+Number_of_Payments,Header_Row)</definedName>
    <definedName name="Loan_Amount" localSheetId="7">'Loan Amortization'!$D$5</definedName>
    <definedName name="Loan_Amount">#REF!</definedName>
    <definedName name="Loan_Start" localSheetId="7">'Loan Amortization'!$D$9</definedName>
    <definedName name="Loan_Start">#REF!</definedName>
    <definedName name="Loan_Years" localSheetId="7">'Loan Amortization'!$D$7</definedName>
    <definedName name="Loan_Years">#REF!</definedName>
    <definedName name="Num_Pmt_Per_Year" localSheetId="7">'Loan Amortization'!$D$8</definedName>
    <definedName name="Num_Pmt_Per_Year">#REF!</definedName>
    <definedName name="Number_of_Payments" localSheetId="7">MATCH(0.01,'Loan Amortization'!End_Bal,-1)+1</definedName>
    <definedName name="Number_of_Payments">MATCH(0.01,End_Bal,-1)+1</definedName>
    <definedName name="Pay_Date" localSheetId="7">'Loan Amortization'!$B$18:$B$377</definedName>
    <definedName name="Pay_Date">#REF!</definedName>
    <definedName name="Pay_Num" localSheetId="7">'Loan Amortization'!$A$18:$A$377</definedName>
    <definedName name="Pay_Num">#REF!</definedName>
    <definedName name="Payment_Date" localSheetId="7">DATE(YEAR('Loan Amortization'!Loan_Start),MONTH('Loan Amortization'!Loan_Start)+Payment_Number,DAY('Loan Amortization'!Loan_Start))</definedName>
    <definedName name="Payment_Date">DATE(YEAR(Loan_Start),MONTH(Loan_Start)+Payment_Number,DAY(Loan_Start))</definedName>
    <definedName name="Princ" localSheetId="7">'Loan Amortization'!$G$18:$G$377</definedName>
    <definedName name="Princ">#REF!</definedName>
    <definedName name="_xlnm.Print_Area" localSheetId="4">' Construction Cost'!$A$1:$G$26</definedName>
    <definedName name="Print_Area_Reset" localSheetId="7">OFFSET('Loan Amortization'!Full_Print,0,0,'Loan Amortization'!Last_Row)</definedName>
    <definedName name="Print_Area_Reset">OFFSET(Full_Print,0,0,[0]!Last_Row)</definedName>
    <definedName name="_xlnm.Print_Titles" localSheetId="7">'Loan Amortization'!$14:$17</definedName>
    <definedName name="Sched_Pay" localSheetId="7">'Loan Amortization'!$D$18:$D$377</definedName>
    <definedName name="Sched_Pay">#REF!</definedName>
    <definedName name="Scheduled_Extra_Payments" localSheetId="7">'Loan Amortization'!$D$10</definedName>
    <definedName name="Scheduled_Extra_Payments">#REF!</definedName>
    <definedName name="Scheduled_Interest_Rate" localSheetId="7">'Loan Amortization'!$D$6</definedName>
    <definedName name="Scheduled_Interest_Rate">#REF!</definedName>
    <definedName name="Scheduled_Monthly_Payment" localSheetId="7">'Loan Amortization'!$H$5</definedName>
    <definedName name="Scheduled_Monthly_Payment">#REF!</definedName>
    <definedName name="Total_Interest" localSheetId="7">'Loan Amortization'!$H$9</definedName>
    <definedName name="Total_Interest">#REF!</definedName>
    <definedName name="Total_Pay" localSheetId="7">'Loan Amortization'!$F$18:$F$377</definedName>
    <definedName name="Total_Pay">#REF!</definedName>
    <definedName name="Total_Payment" localSheetId="7">Scheduled_Payment+Extra_Payment</definedName>
    <definedName name="Total_Payment">Scheduled_Payment+Extra_Payment</definedName>
    <definedName name="Values_Entered" localSheetId="7">IF('Loan Amortization'!Loan_Amount*'Loan Amortization'!Interest_Rate*'Loan Amortization'!Loan_Years*'Loan Amortization'!Loan_Start&gt;0,1,0)</definedName>
    <definedName name="Values_Entered">IF(Loan_Amount*Interest_Rate*Loan_Years*Loan_Start&gt;0,1,0)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0" l="1"/>
  <c r="H12" i="10"/>
  <c r="G82" i="17" l="1"/>
  <c r="D110" i="17" s="1"/>
  <c r="G113" i="17" s="1"/>
  <c r="G86" i="17" l="1"/>
  <c r="B50" i="17" l="1"/>
  <c r="A3" i="17"/>
  <c r="B49" i="17"/>
  <c r="A2" i="17"/>
  <c r="D111" i="17" l="1"/>
  <c r="G111" i="17" s="1"/>
  <c r="D105" i="17"/>
  <c r="G105" i="17" s="1"/>
  <c r="D99" i="17" l="1"/>
  <c r="G99" i="17" s="1"/>
  <c r="F91" i="17"/>
  <c r="F90" i="17" l="1"/>
  <c r="F89" i="17"/>
  <c r="G70" i="17"/>
  <c r="G58" i="17"/>
  <c r="G110" i="17" l="1"/>
  <c r="G112" i="17" s="1"/>
  <c r="D104" i="17"/>
  <c r="G107" i="17" s="1"/>
  <c r="G62" i="17"/>
  <c r="D98" i="17"/>
  <c r="G74" i="17"/>
  <c r="F93" i="17" s="1"/>
  <c r="D112" i="17" l="1"/>
  <c r="F125" i="17" s="1"/>
  <c r="D106" i="17"/>
  <c r="F121" i="17" s="1"/>
  <c r="G104" i="17"/>
  <c r="G106" i="17" s="1"/>
  <c r="G98" i="17"/>
  <c r="G100" i="17" s="1"/>
  <c r="D100" i="17"/>
  <c r="F16" i="7"/>
  <c r="F129" i="17" l="1"/>
  <c r="F117" i="17"/>
  <c r="I26" i="10" l="1"/>
  <c r="I24" i="11" l="1"/>
  <c r="B12" i="13"/>
  <c r="I22" i="11"/>
  <c r="G21" i="4" s="1"/>
  <c r="G20" i="4"/>
  <c r="C18" i="2"/>
  <c r="B13" i="13"/>
  <c r="F13" i="13" s="1"/>
  <c r="B23" i="13" s="1"/>
  <c r="F23" i="13" s="1"/>
  <c r="B15" i="13"/>
  <c r="F15" i="13" s="1"/>
  <c r="B25" i="13" s="1"/>
  <c r="F25" i="13" s="1"/>
  <c r="B16" i="13"/>
  <c r="F16" i="13" s="1"/>
  <c r="E27" i="17" s="1"/>
  <c r="C38" i="17" s="1"/>
  <c r="B17" i="13"/>
  <c r="F17" i="13" s="1"/>
  <c r="B27" i="13" s="1"/>
  <c r="F27" i="13" s="1"/>
  <c r="B37" i="13" s="1"/>
  <c r="F37" i="13" s="1"/>
  <c r="D28" i="13"/>
  <c r="H45" i="13" s="1"/>
  <c r="E45" i="13" s="1"/>
  <c r="D38" i="13"/>
  <c r="H46" i="13" s="1"/>
  <c r="F25" i="17"/>
  <c r="F13" i="17"/>
  <c r="C36" i="17"/>
  <c r="D24" i="13"/>
  <c r="F21" i="17"/>
  <c r="C37" i="17" s="1"/>
  <c r="D34" i="13"/>
  <c r="C24" i="4"/>
  <c r="I28" i="10"/>
  <c r="I41" i="10"/>
  <c r="A18" i="16"/>
  <c r="D18" i="16" s="1"/>
  <c r="H5" i="16"/>
  <c r="C18" i="16"/>
  <c r="A19" i="16"/>
  <c r="B19" i="16" s="1"/>
  <c r="A20" i="16"/>
  <c r="B20" i="16" s="1"/>
  <c r="K13" i="16"/>
  <c r="L13" i="16" s="1"/>
  <c r="K8" i="16"/>
  <c r="N8" i="16" s="1"/>
  <c r="M8" i="16"/>
  <c r="L8" i="16"/>
  <c r="H6" i="16"/>
  <c r="H8" i="11"/>
  <c r="I23" i="11"/>
  <c r="C49" i="4"/>
  <c r="C50" i="4"/>
  <c r="C36" i="4"/>
  <c r="C37" i="4"/>
  <c r="C25" i="4"/>
  <c r="A2" i="2"/>
  <c r="H34" i="11"/>
  <c r="I18" i="10"/>
  <c r="I20" i="10" s="1"/>
  <c r="I17" i="4" s="1"/>
  <c r="I30" i="10"/>
  <c r="G13" i="2"/>
  <c r="F37" i="11"/>
  <c r="H30" i="11"/>
  <c r="H31" i="11"/>
  <c r="H32" i="11"/>
  <c r="H33" i="11"/>
  <c r="H35" i="11"/>
  <c r="H36" i="11"/>
  <c r="H12" i="11"/>
  <c r="F17" i="7"/>
  <c r="I18" i="4"/>
  <c r="A2" i="11"/>
  <c r="A3" i="13"/>
  <c r="A2" i="13"/>
  <c r="A3" i="2"/>
  <c r="A3" i="4"/>
  <c r="A2" i="4"/>
  <c r="A3" i="10"/>
  <c r="A2" i="10"/>
  <c r="A3" i="11"/>
  <c r="G33" i="4" l="1"/>
  <c r="G48" i="4"/>
  <c r="G47" i="4"/>
  <c r="G45" i="4"/>
  <c r="G24" i="4"/>
  <c r="D19" i="16"/>
  <c r="H18" i="16"/>
  <c r="J18" i="16" s="1"/>
  <c r="B18" i="16"/>
  <c r="M13" i="16"/>
  <c r="N13" i="16"/>
  <c r="G36" i="4"/>
  <c r="F19" i="7"/>
  <c r="G32" i="4"/>
  <c r="G34" i="4"/>
  <c r="G35" i="4"/>
  <c r="G23" i="4"/>
  <c r="G22" i="4"/>
  <c r="B26" i="13"/>
  <c r="F26" i="13" s="1"/>
  <c r="B35" i="13"/>
  <c r="F35" i="13" s="1"/>
  <c r="B33" i="13"/>
  <c r="F33" i="13" s="1"/>
  <c r="B14" i="13"/>
  <c r="D14" i="13" s="1"/>
  <c r="C22" i="2"/>
  <c r="E22" i="17"/>
  <c r="C39" i="17" s="1"/>
  <c r="C38" i="4"/>
  <c r="C26" i="4"/>
  <c r="I32" i="10"/>
  <c r="I43" i="10" s="1"/>
  <c r="F23" i="7" s="1"/>
  <c r="F21" i="7"/>
  <c r="F20" i="7"/>
  <c r="G12" i="2"/>
  <c r="H15" i="11"/>
  <c r="F26" i="17"/>
  <c r="E30" i="17" s="1"/>
  <c r="F32" i="17" s="1"/>
  <c r="G44" i="4"/>
  <c r="G49" i="4"/>
  <c r="G46" i="4"/>
  <c r="C51" i="4"/>
  <c r="C35" i="17"/>
  <c r="H37" i="11"/>
  <c r="G42" i="11" s="1"/>
  <c r="E14" i="17"/>
  <c r="F12" i="13"/>
  <c r="A21" i="16"/>
  <c r="D20" i="16"/>
  <c r="E18" i="16"/>
  <c r="F18" i="16" s="1"/>
  <c r="G18" i="16" s="1"/>
  <c r="I18" i="16" s="1"/>
  <c r="G38" i="4" l="1"/>
  <c r="I38" i="4" s="1"/>
  <c r="G26" i="4"/>
  <c r="I26" i="4" s="1"/>
  <c r="G101" i="17" s="1"/>
  <c r="G18" i="2"/>
  <c r="G43" i="11"/>
  <c r="G20" i="2"/>
  <c r="H16" i="13" s="1"/>
  <c r="H26" i="13" s="1"/>
  <c r="G17" i="2"/>
  <c r="H13" i="13" s="1"/>
  <c r="H23" i="13" s="1"/>
  <c r="G16" i="2"/>
  <c r="G21" i="2"/>
  <c r="H17" i="13" s="1"/>
  <c r="H27" i="13" s="1"/>
  <c r="G19" i="2"/>
  <c r="H15" i="13" s="1"/>
  <c r="H25" i="13" s="1"/>
  <c r="C40" i="17"/>
  <c r="E44" i="17" s="1"/>
  <c r="B36" i="13"/>
  <c r="F36" i="13" s="1"/>
  <c r="H36" i="13" s="1"/>
  <c r="E16" i="17"/>
  <c r="H12" i="13"/>
  <c r="B22" i="13"/>
  <c r="F22" i="13" s="1"/>
  <c r="B18" i="13"/>
  <c r="H43" i="13" s="1"/>
  <c r="E43" i="13" s="1"/>
  <c r="D18" i="13"/>
  <c r="H44" i="13" s="1"/>
  <c r="E44" i="13" s="1"/>
  <c r="H9" i="13"/>
  <c r="G51" i="4"/>
  <c r="H51" i="4" s="1"/>
  <c r="G44" i="11"/>
  <c r="C19" i="16"/>
  <c r="A22" i="16"/>
  <c r="D21" i="16"/>
  <c r="B21" i="16"/>
  <c r="E117" i="17" l="1"/>
  <c r="D117" i="17" s="1"/>
  <c r="E28" i="7"/>
  <c r="E121" i="17"/>
  <c r="D121" i="17" s="1"/>
  <c r="H26" i="4"/>
  <c r="H33" i="13"/>
  <c r="G22" i="2"/>
  <c r="E26" i="2" s="1"/>
  <c r="F43" i="13" s="1"/>
  <c r="H35" i="13"/>
  <c r="H37" i="13"/>
  <c r="G45" i="11"/>
  <c r="F18" i="7" s="1"/>
  <c r="H22" i="13"/>
  <c r="B32" i="13"/>
  <c r="F32" i="13" s="1"/>
  <c r="H47" i="13"/>
  <c r="H49" i="13" s="1"/>
  <c r="F14" i="13"/>
  <c r="I51" i="4"/>
  <c r="E27" i="7"/>
  <c r="G31" i="4"/>
  <c r="D29" i="7"/>
  <c r="H19" i="16"/>
  <c r="E19" i="16"/>
  <c r="A23" i="16"/>
  <c r="D22" i="16"/>
  <c r="B22" i="16"/>
  <c r="E129" i="17" l="1"/>
  <c r="D129" i="17" s="1"/>
  <c r="E29" i="7"/>
  <c r="E125" i="17"/>
  <c r="D125" i="17" s="1"/>
  <c r="D27" i="7"/>
  <c r="J26" i="4"/>
  <c r="F26" i="2"/>
  <c r="G26" i="2" s="1"/>
  <c r="G27" i="2" s="1"/>
  <c r="H32" i="13"/>
  <c r="E6" i="17"/>
  <c r="F18" i="13"/>
  <c r="B28" i="13" s="1"/>
  <c r="B24" i="13"/>
  <c r="F24" i="13" s="1"/>
  <c r="H14" i="13"/>
  <c r="H18" i="13" s="1"/>
  <c r="H19" i="13" s="1"/>
  <c r="G44" i="13" s="1"/>
  <c r="I41" i="4"/>
  <c r="G39" i="4"/>
  <c r="J51" i="4"/>
  <c r="J19" i="16"/>
  <c r="F19" i="16"/>
  <c r="G19" i="16" s="1"/>
  <c r="I19" i="16" s="1"/>
  <c r="A24" i="16"/>
  <c r="D23" i="16"/>
  <c r="B23" i="16"/>
  <c r="C31" i="4" l="1"/>
  <c r="C39" i="4" s="1"/>
  <c r="H38" i="4" s="1"/>
  <c r="D28" i="7" s="1"/>
  <c r="F59" i="17"/>
  <c r="F61" i="17"/>
  <c r="F60" i="17"/>
  <c r="F85" i="17"/>
  <c r="F84" i="17"/>
  <c r="F83" i="17"/>
  <c r="J52" i="4"/>
  <c r="F77" i="17"/>
  <c r="J27" i="4"/>
  <c r="F53" i="17"/>
  <c r="F27" i="7"/>
  <c r="C27" i="7" s="1"/>
  <c r="G43" i="13"/>
  <c r="H24" i="13"/>
  <c r="H28" i="13" s="1"/>
  <c r="H29" i="13" s="1"/>
  <c r="B34" i="13"/>
  <c r="F34" i="13" s="1"/>
  <c r="H34" i="13" s="1"/>
  <c r="F28" i="13"/>
  <c r="B38" i="13" s="1"/>
  <c r="F44" i="13"/>
  <c r="F30" i="7"/>
  <c r="G28" i="2"/>
  <c r="F29" i="7"/>
  <c r="C29" i="7" s="1"/>
  <c r="C20" i="16"/>
  <c r="A25" i="16"/>
  <c r="D24" i="16"/>
  <c r="B24" i="16"/>
  <c r="H41" i="4" l="1"/>
  <c r="J38" i="4"/>
  <c r="F65" i="17" s="1"/>
  <c r="F87" i="17"/>
  <c r="F63" i="17"/>
  <c r="G45" i="13"/>
  <c r="F45" i="13"/>
  <c r="F38" i="13"/>
  <c r="H38" i="13"/>
  <c r="H39" i="13" s="1"/>
  <c r="E15" i="17"/>
  <c r="E26" i="17" s="1"/>
  <c r="A26" i="16"/>
  <c r="D25" i="16"/>
  <c r="B25" i="16"/>
  <c r="H20" i="16"/>
  <c r="E20" i="16"/>
  <c r="J41" i="4" l="1"/>
  <c r="J42" i="4" s="1"/>
  <c r="F72" i="17"/>
  <c r="F28" i="7"/>
  <c r="F71" i="17"/>
  <c r="F73" i="17"/>
  <c r="G95" i="17"/>
  <c r="G46" i="13"/>
  <c r="G47" i="13" s="1"/>
  <c r="F35" i="17" s="1"/>
  <c r="F46" i="13"/>
  <c r="F20" i="16"/>
  <c r="G20" i="16" s="1"/>
  <c r="I20" i="16" s="1"/>
  <c r="J20" i="16"/>
  <c r="A27" i="16"/>
  <c r="D26" i="16"/>
  <c r="B26" i="16"/>
  <c r="F75" i="17" l="1"/>
  <c r="F92" i="17" s="1"/>
  <c r="F94" i="17" s="1"/>
  <c r="C28" i="7"/>
  <c r="F31" i="7"/>
  <c r="F38" i="17"/>
  <c r="F37" i="17"/>
  <c r="E46" i="13"/>
  <c r="E47" i="13" s="1"/>
  <c r="F39" i="17"/>
  <c r="F36" i="17"/>
  <c r="H48" i="13"/>
  <c r="F22" i="7" s="1"/>
  <c r="E30" i="7"/>
  <c r="E31" i="7" s="1"/>
  <c r="F41" i="17"/>
  <c r="F47" i="13"/>
  <c r="C21" i="16"/>
  <c r="A28" i="16"/>
  <c r="D27" i="16"/>
  <c r="B27" i="16"/>
  <c r="C30" i="7" l="1"/>
  <c r="C31" i="7" s="1"/>
  <c r="E28" i="17"/>
  <c r="E29" i="17" s="1"/>
  <c r="E31" i="17" s="1"/>
  <c r="D30" i="7"/>
  <c r="D31" i="7" s="1"/>
  <c r="H50" i="13"/>
  <c r="F40" i="17"/>
  <c r="D44" i="17" s="1"/>
  <c r="A29" i="16"/>
  <c r="D28" i="16"/>
  <c r="B28" i="16"/>
  <c r="E21" i="16"/>
  <c r="H21" i="16"/>
  <c r="C44" i="17" l="1"/>
  <c r="E45" i="17"/>
  <c r="J21" i="16"/>
  <c r="F21" i="16"/>
  <c r="G21" i="16" s="1"/>
  <c r="I21" i="16" s="1"/>
  <c r="A30" i="16"/>
  <c r="D29" i="16"/>
  <c r="B29" i="16"/>
  <c r="C22" i="16" l="1"/>
  <c r="A31" i="16"/>
  <c r="D30" i="16"/>
  <c r="B30" i="16"/>
  <c r="A32" i="16" l="1"/>
  <c r="D31" i="16"/>
  <c r="B31" i="16"/>
  <c r="E22" i="16"/>
  <c r="H22" i="16"/>
  <c r="J22" i="16" l="1"/>
  <c r="F22" i="16"/>
  <c r="G22" i="16" s="1"/>
  <c r="I22" i="16" s="1"/>
  <c r="D32" i="16"/>
  <c r="A33" i="16"/>
  <c r="B32" i="16"/>
  <c r="C23" i="16" l="1"/>
  <c r="D33" i="16"/>
  <c r="A34" i="16"/>
  <c r="B33" i="16"/>
  <c r="D34" i="16" l="1"/>
  <c r="A35" i="16"/>
  <c r="B34" i="16"/>
  <c r="E23" i="16"/>
  <c r="H23" i="16"/>
  <c r="F23" i="16" l="1"/>
  <c r="G23" i="16" s="1"/>
  <c r="I23" i="16" s="1"/>
  <c r="C24" i="16" s="1"/>
  <c r="J23" i="16"/>
  <c r="D35" i="16"/>
  <c r="A36" i="16"/>
  <c r="B35" i="16"/>
  <c r="H24" i="16" l="1"/>
  <c r="J24" i="16" s="1"/>
  <c r="E24" i="16"/>
  <c r="D36" i="16"/>
  <c r="A37" i="16"/>
  <c r="B36" i="16"/>
  <c r="I24" i="16" l="1"/>
  <c r="C25" i="16" s="1"/>
  <c r="F24" i="16"/>
  <c r="G24" i="16" s="1"/>
  <c r="D37" i="16"/>
  <c r="A38" i="16"/>
  <c r="B37" i="16"/>
  <c r="H25" i="16" l="1"/>
  <c r="J25" i="16" s="1"/>
  <c r="E25" i="16"/>
  <c r="D38" i="16"/>
  <c r="A39" i="16"/>
  <c r="B38" i="16"/>
  <c r="F25" i="16" l="1"/>
  <c r="G25" i="16" s="1"/>
  <c r="I25" i="16" s="1"/>
  <c r="C26" i="16" s="1"/>
  <c r="D39" i="16"/>
  <c r="A40" i="16"/>
  <c r="B39" i="16"/>
  <c r="H26" i="16" l="1"/>
  <c r="J26" i="16" s="1"/>
  <c r="E26" i="16"/>
  <c r="D40" i="16"/>
  <c r="A41" i="16"/>
  <c r="B40" i="16"/>
  <c r="D41" i="16" l="1"/>
  <c r="A42" i="16"/>
  <c r="B41" i="16"/>
  <c r="I26" i="16"/>
  <c r="C27" i="16" s="1"/>
  <c r="F26" i="16"/>
  <c r="G26" i="16" s="1"/>
  <c r="E27" i="16" l="1"/>
  <c r="H27" i="16"/>
  <c r="J27" i="16" s="1"/>
  <c r="D42" i="16"/>
  <c r="A43" i="16"/>
  <c r="B42" i="16"/>
  <c r="D43" i="16" l="1"/>
  <c r="A44" i="16"/>
  <c r="B43" i="16"/>
  <c r="F27" i="16"/>
  <c r="G27" i="16" s="1"/>
  <c r="I27" i="16" s="1"/>
  <c r="C28" i="16" s="1"/>
  <c r="E28" i="16" l="1"/>
  <c r="H28" i="16"/>
  <c r="J28" i="16" s="1"/>
  <c r="D44" i="16"/>
  <c r="A45" i="16"/>
  <c r="B44" i="16"/>
  <c r="D45" i="16" l="1"/>
  <c r="A46" i="16"/>
  <c r="B45" i="16"/>
  <c r="F28" i="16"/>
  <c r="G28" i="16" s="1"/>
  <c r="I28" i="16" s="1"/>
  <c r="C29" i="16" s="1"/>
  <c r="E29" i="16" l="1"/>
  <c r="H29" i="16"/>
  <c r="J29" i="16" s="1"/>
  <c r="D46" i="16"/>
  <c r="A47" i="16"/>
  <c r="B46" i="16"/>
  <c r="D47" i="16" l="1"/>
  <c r="A48" i="16"/>
  <c r="B47" i="16"/>
  <c r="F29" i="16"/>
  <c r="G29" i="16" s="1"/>
  <c r="I29" i="16" s="1"/>
  <c r="C30" i="16" s="1"/>
  <c r="H30" i="16" l="1"/>
  <c r="J30" i="16" s="1"/>
  <c r="E30" i="16"/>
  <c r="D48" i="16"/>
  <c r="A49" i="16"/>
  <c r="B48" i="16"/>
  <c r="D49" i="16" l="1"/>
  <c r="A50" i="16"/>
  <c r="B49" i="16"/>
  <c r="F30" i="16"/>
  <c r="G30" i="16" s="1"/>
  <c r="I30" i="16" s="1"/>
  <c r="C31" i="16" s="1"/>
  <c r="E31" i="16" l="1"/>
  <c r="H31" i="16"/>
  <c r="J31" i="16" s="1"/>
  <c r="A51" i="16"/>
  <c r="D50" i="16"/>
  <c r="B50" i="16"/>
  <c r="A52" i="16" l="1"/>
  <c r="D51" i="16"/>
  <c r="B51" i="16"/>
  <c r="F31" i="16"/>
  <c r="G31" i="16" s="1"/>
  <c r="I31" i="16" s="1"/>
  <c r="C32" i="16" s="1"/>
  <c r="H32" i="16" l="1"/>
  <c r="J32" i="16" s="1"/>
  <c r="E32" i="16"/>
  <c r="A53" i="16"/>
  <c r="D52" i="16"/>
  <c r="B52" i="16"/>
  <c r="F32" i="16" l="1"/>
  <c r="G32" i="16" s="1"/>
  <c r="I32" i="16" s="1"/>
  <c r="C33" i="16" s="1"/>
  <c r="A54" i="16"/>
  <c r="D53" i="16"/>
  <c r="B53" i="16"/>
  <c r="H33" i="16" l="1"/>
  <c r="J33" i="16" s="1"/>
  <c r="E33" i="16"/>
  <c r="A55" i="16"/>
  <c r="D54" i="16"/>
  <c r="B54" i="16"/>
  <c r="F33" i="16" l="1"/>
  <c r="G33" i="16" s="1"/>
  <c r="I33" i="16" s="1"/>
  <c r="C34" i="16" s="1"/>
  <c r="A56" i="16"/>
  <c r="D55" i="16"/>
  <c r="B55" i="16"/>
  <c r="H34" i="16" l="1"/>
  <c r="J34" i="16" s="1"/>
  <c r="E34" i="16"/>
  <c r="A57" i="16"/>
  <c r="D56" i="16"/>
  <c r="B56" i="16"/>
  <c r="F34" i="16" l="1"/>
  <c r="G34" i="16" s="1"/>
  <c r="I34" i="16" s="1"/>
  <c r="C35" i="16" s="1"/>
  <c r="A58" i="16"/>
  <c r="D57" i="16"/>
  <c r="B57" i="16"/>
  <c r="H35" i="16" l="1"/>
  <c r="J35" i="16" s="1"/>
  <c r="E35" i="16"/>
  <c r="A59" i="16"/>
  <c r="D58" i="16"/>
  <c r="B58" i="16"/>
  <c r="F35" i="16" l="1"/>
  <c r="G35" i="16" s="1"/>
  <c r="I35" i="16" s="1"/>
  <c r="C36" i="16" s="1"/>
  <c r="A60" i="16"/>
  <c r="D59" i="16"/>
  <c r="B59" i="16"/>
  <c r="H36" i="16" l="1"/>
  <c r="J36" i="16" s="1"/>
  <c r="E36" i="16"/>
  <c r="A61" i="16"/>
  <c r="D60" i="16"/>
  <c r="B60" i="16"/>
  <c r="F36" i="16" l="1"/>
  <c r="G36" i="16" s="1"/>
  <c r="I36" i="16"/>
  <c r="C37" i="16" s="1"/>
  <c r="A62" i="16"/>
  <c r="D61" i="16"/>
  <c r="B61" i="16"/>
  <c r="E37" i="16" l="1"/>
  <c r="H37" i="16"/>
  <c r="J37" i="16" s="1"/>
  <c r="A63" i="16"/>
  <c r="D62" i="16"/>
  <c r="B62" i="16"/>
  <c r="F37" i="16" l="1"/>
  <c r="G37" i="16" s="1"/>
  <c r="I37" i="16"/>
  <c r="C38" i="16" s="1"/>
  <c r="A64" i="16"/>
  <c r="D63" i="16"/>
  <c r="B63" i="16"/>
  <c r="E38" i="16" l="1"/>
  <c r="H38" i="16"/>
  <c r="J38" i="16" s="1"/>
  <c r="A65" i="16"/>
  <c r="D64" i="16"/>
  <c r="B64" i="16"/>
  <c r="I38" i="16" l="1"/>
  <c r="C39" i="16" s="1"/>
  <c r="F38" i="16"/>
  <c r="G38" i="16" s="1"/>
  <c r="A66" i="16"/>
  <c r="D65" i="16"/>
  <c r="B65" i="16"/>
  <c r="H39" i="16" l="1"/>
  <c r="J39" i="16" s="1"/>
  <c r="E39" i="16"/>
  <c r="A67" i="16"/>
  <c r="D66" i="16"/>
  <c r="B66" i="16"/>
  <c r="F39" i="16" l="1"/>
  <c r="G39" i="16" s="1"/>
  <c r="I39" i="16"/>
  <c r="C40" i="16" s="1"/>
  <c r="A68" i="16"/>
  <c r="D67" i="16"/>
  <c r="B67" i="16"/>
  <c r="H40" i="16" l="1"/>
  <c r="J40" i="16" s="1"/>
  <c r="E40" i="16"/>
  <c r="A69" i="16"/>
  <c r="D68" i="16"/>
  <c r="B68" i="16"/>
  <c r="A70" i="16" l="1"/>
  <c r="D69" i="16"/>
  <c r="B69" i="16"/>
  <c r="F40" i="16"/>
  <c r="G40" i="16" s="1"/>
  <c r="I40" i="16"/>
  <c r="C41" i="16" s="1"/>
  <c r="A71" i="16" l="1"/>
  <c r="D70" i="16"/>
  <c r="B70" i="16"/>
  <c r="H41" i="16"/>
  <c r="J41" i="16" s="1"/>
  <c r="E41" i="16"/>
  <c r="I41" i="16" l="1"/>
  <c r="C42" i="16" s="1"/>
  <c r="F41" i="16"/>
  <c r="G41" i="16" s="1"/>
  <c r="A72" i="16"/>
  <c r="D71" i="16"/>
  <c r="B71" i="16"/>
  <c r="A73" i="16" l="1"/>
  <c r="D72" i="16"/>
  <c r="B72" i="16"/>
  <c r="H42" i="16"/>
  <c r="J42" i="16" s="1"/>
  <c r="E42" i="16"/>
  <c r="I42" i="16" l="1"/>
  <c r="C43" i="16" s="1"/>
  <c r="F42" i="16"/>
  <c r="G42" i="16" s="1"/>
  <c r="A74" i="16"/>
  <c r="D73" i="16"/>
  <c r="B73" i="16"/>
  <c r="H43" i="16" l="1"/>
  <c r="J43" i="16" s="1"/>
  <c r="E43" i="16"/>
  <c r="A75" i="16"/>
  <c r="D74" i="16"/>
  <c r="B74" i="16"/>
  <c r="A76" i="16" l="1"/>
  <c r="D75" i="16"/>
  <c r="B75" i="16"/>
  <c r="I43" i="16"/>
  <c r="C44" i="16" s="1"/>
  <c r="F43" i="16"/>
  <c r="G43" i="16" s="1"/>
  <c r="H44" i="16" l="1"/>
  <c r="J44" i="16" s="1"/>
  <c r="E44" i="16"/>
  <c r="A77" i="16"/>
  <c r="D76" i="16"/>
  <c r="B76" i="16"/>
  <c r="A78" i="16" l="1"/>
  <c r="D77" i="16"/>
  <c r="B77" i="16"/>
  <c r="F44" i="16"/>
  <c r="G44" i="16" s="1"/>
  <c r="I44" i="16"/>
  <c r="C45" i="16" s="1"/>
  <c r="H45" i="16" l="1"/>
  <c r="J45" i="16" s="1"/>
  <c r="E45" i="16"/>
  <c r="A79" i="16"/>
  <c r="D78" i="16"/>
  <c r="B78" i="16"/>
  <c r="A80" i="16" l="1"/>
  <c r="D79" i="16"/>
  <c r="B79" i="16"/>
  <c r="I45" i="16"/>
  <c r="C46" i="16" s="1"/>
  <c r="F45" i="16"/>
  <c r="G45" i="16" s="1"/>
  <c r="H46" i="16" l="1"/>
  <c r="J46" i="16" s="1"/>
  <c r="E46" i="16"/>
  <c r="D80" i="16"/>
  <c r="A81" i="16"/>
  <c r="B80" i="16"/>
  <c r="I46" i="16" l="1"/>
  <c r="C47" i="16" s="1"/>
  <c r="F46" i="16"/>
  <c r="G46" i="16" s="1"/>
  <c r="A82" i="16"/>
  <c r="D81" i="16"/>
  <c r="B81" i="16"/>
  <c r="E47" i="16" l="1"/>
  <c r="H47" i="16"/>
  <c r="J47" i="16" s="1"/>
  <c r="D82" i="16"/>
  <c r="A83" i="16"/>
  <c r="B82" i="16"/>
  <c r="I47" i="16" l="1"/>
  <c r="C48" i="16" s="1"/>
  <c r="F47" i="16"/>
  <c r="G47" i="16" s="1"/>
  <c r="A84" i="16"/>
  <c r="D83" i="16"/>
  <c r="B83" i="16"/>
  <c r="H48" i="16" l="1"/>
  <c r="J48" i="16" s="1"/>
  <c r="E48" i="16"/>
  <c r="A85" i="16"/>
  <c r="D84" i="16"/>
  <c r="B84" i="16"/>
  <c r="I48" i="16" l="1"/>
  <c r="C49" i="16" s="1"/>
  <c r="F48" i="16"/>
  <c r="G48" i="16" s="1"/>
  <c r="A86" i="16"/>
  <c r="D85" i="16"/>
  <c r="B85" i="16"/>
  <c r="A87" i="16" l="1"/>
  <c r="D86" i="16"/>
  <c r="B86" i="16"/>
  <c r="H49" i="16"/>
  <c r="J49" i="16" s="1"/>
  <c r="E49" i="16"/>
  <c r="I49" i="16" l="1"/>
  <c r="C50" i="16" s="1"/>
  <c r="F49" i="16"/>
  <c r="G49" i="16" s="1"/>
  <c r="A88" i="16"/>
  <c r="D87" i="16"/>
  <c r="B87" i="16"/>
  <c r="A89" i="16" l="1"/>
  <c r="D88" i="16"/>
  <c r="B88" i="16"/>
  <c r="H50" i="16"/>
  <c r="J50" i="16" s="1"/>
  <c r="E50" i="16"/>
  <c r="A90" i="16" l="1"/>
  <c r="D89" i="16"/>
  <c r="B89" i="16"/>
  <c r="I50" i="16"/>
  <c r="C51" i="16" s="1"/>
  <c r="F50" i="16"/>
  <c r="G50" i="16" s="1"/>
  <c r="D90" i="16" l="1"/>
  <c r="A91" i="16"/>
  <c r="B90" i="16"/>
  <c r="H51" i="16"/>
  <c r="J51" i="16" s="1"/>
  <c r="E51" i="16"/>
  <c r="A92" i="16" l="1"/>
  <c r="D91" i="16"/>
  <c r="B91" i="16"/>
  <c r="I51" i="16"/>
  <c r="C52" i="16" s="1"/>
  <c r="F51" i="16"/>
  <c r="G51" i="16" s="1"/>
  <c r="H52" i="16" l="1"/>
  <c r="J52" i="16" s="1"/>
  <c r="E52" i="16"/>
  <c r="A93" i="16"/>
  <c r="D92" i="16"/>
  <c r="B92" i="16"/>
  <c r="I52" i="16" l="1"/>
  <c r="C53" i="16" s="1"/>
  <c r="F52" i="16"/>
  <c r="G52" i="16" s="1"/>
  <c r="A94" i="16"/>
  <c r="D93" i="16"/>
  <c r="B93" i="16"/>
  <c r="A95" i="16" l="1"/>
  <c r="D94" i="16"/>
  <c r="B94" i="16"/>
  <c r="E53" i="16"/>
  <c r="H53" i="16"/>
  <c r="J53" i="16" s="1"/>
  <c r="A96" i="16" l="1"/>
  <c r="D95" i="16"/>
  <c r="B95" i="16"/>
  <c r="I53" i="16"/>
  <c r="C54" i="16" s="1"/>
  <c r="F53" i="16"/>
  <c r="G53" i="16" s="1"/>
  <c r="E54" i="16" l="1"/>
  <c r="H54" i="16"/>
  <c r="J54" i="16" s="1"/>
  <c r="D96" i="16"/>
  <c r="A97" i="16"/>
  <c r="B96" i="16"/>
  <c r="A98" i="16" l="1"/>
  <c r="B97" i="16"/>
  <c r="D97" i="16"/>
  <c r="I54" i="16"/>
  <c r="C55" i="16" s="1"/>
  <c r="F54" i="16"/>
  <c r="G54" i="16" s="1"/>
  <c r="E55" i="16" l="1"/>
  <c r="H55" i="16"/>
  <c r="J55" i="16" s="1"/>
  <c r="A99" i="16"/>
  <c r="D98" i="16"/>
  <c r="B98" i="16"/>
  <c r="I55" i="16" l="1"/>
  <c r="C56" i="16" s="1"/>
  <c r="F55" i="16"/>
  <c r="G55" i="16" s="1"/>
  <c r="D99" i="16"/>
  <c r="A100" i="16"/>
  <c r="B99" i="16"/>
  <c r="A101" i="16" l="1"/>
  <c r="D100" i="16"/>
  <c r="B100" i="16"/>
  <c r="E56" i="16"/>
  <c r="H56" i="16"/>
  <c r="J56" i="16" s="1"/>
  <c r="I56" i="16" l="1"/>
  <c r="C57" i="16" s="1"/>
  <c r="F56" i="16"/>
  <c r="G56" i="16" s="1"/>
  <c r="A102" i="16"/>
  <c r="D101" i="16"/>
  <c r="B101" i="16"/>
  <c r="A103" i="16" l="1"/>
  <c r="D102" i="16"/>
  <c r="B102" i="16"/>
  <c r="E57" i="16"/>
  <c r="H57" i="16"/>
  <c r="J57" i="16" s="1"/>
  <c r="I57" i="16" l="1"/>
  <c r="C58" i="16" s="1"/>
  <c r="F57" i="16"/>
  <c r="G57" i="16" s="1"/>
  <c r="D103" i="16"/>
  <c r="A104" i="16"/>
  <c r="B103" i="16"/>
  <c r="E58" i="16" l="1"/>
  <c r="H58" i="16"/>
  <c r="J58" i="16" s="1"/>
  <c r="A105" i="16"/>
  <c r="D104" i="16"/>
  <c r="B104" i="16"/>
  <c r="I58" i="16" l="1"/>
  <c r="C59" i="16" s="1"/>
  <c r="F58" i="16"/>
  <c r="G58" i="16" s="1"/>
  <c r="A106" i="16"/>
  <c r="D105" i="16"/>
  <c r="B105" i="16"/>
  <c r="A107" i="16" l="1"/>
  <c r="D106" i="16"/>
  <c r="B106" i="16"/>
  <c r="E59" i="16"/>
  <c r="H59" i="16"/>
  <c r="J59" i="16" s="1"/>
  <c r="D107" i="16" l="1"/>
  <c r="A108" i="16"/>
  <c r="B107" i="16"/>
  <c r="I59" i="16"/>
  <c r="C60" i="16" s="1"/>
  <c r="F59" i="16"/>
  <c r="G59" i="16" s="1"/>
  <c r="E60" i="16" l="1"/>
  <c r="H60" i="16"/>
  <c r="J60" i="16" s="1"/>
  <c r="A109" i="16"/>
  <c r="D108" i="16"/>
  <c r="B108" i="16"/>
  <c r="A110" i="16" l="1"/>
  <c r="D109" i="16"/>
  <c r="B109" i="16"/>
  <c r="I60" i="16"/>
  <c r="C61" i="16" s="1"/>
  <c r="F60" i="16"/>
  <c r="G60" i="16" s="1"/>
  <c r="E61" i="16" l="1"/>
  <c r="H61" i="16"/>
  <c r="J61" i="16" s="1"/>
  <c r="A111" i="16"/>
  <c r="D110" i="16"/>
  <c r="B110" i="16"/>
  <c r="I61" i="16" l="1"/>
  <c r="C62" i="16" s="1"/>
  <c r="F61" i="16"/>
  <c r="G61" i="16" s="1"/>
  <c r="D111" i="16"/>
  <c r="A112" i="16"/>
  <c r="B111" i="16"/>
  <c r="A113" i="16" l="1"/>
  <c r="D112" i="16"/>
  <c r="B112" i="16"/>
  <c r="E62" i="16"/>
  <c r="H62" i="16"/>
  <c r="J62" i="16" s="1"/>
  <c r="A114" i="16" l="1"/>
  <c r="D113" i="16"/>
  <c r="B113" i="16"/>
  <c r="I62" i="16"/>
  <c r="C63" i="16" s="1"/>
  <c r="F62" i="16"/>
  <c r="G62" i="16" s="1"/>
  <c r="E63" i="16" l="1"/>
  <c r="H63" i="16"/>
  <c r="J63" i="16" s="1"/>
  <c r="A115" i="16"/>
  <c r="D114" i="16"/>
  <c r="B114" i="16"/>
  <c r="I63" i="16" l="1"/>
  <c r="C64" i="16" s="1"/>
  <c r="F63" i="16"/>
  <c r="G63" i="16" s="1"/>
  <c r="D115" i="16"/>
  <c r="A116" i="16"/>
  <c r="B115" i="16"/>
  <c r="E64" i="16" l="1"/>
  <c r="H64" i="16"/>
  <c r="J64" i="16" s="1"/>
  <c r="A117" i="16"/>
  <c r="D116" i="16"/>
  <c r="B116" i="16"/>
  <c r="I64" i="16" l="1"/>
  <c r="C65" i="16" s="1"/>
  <c r="F64" i="16"/>
  <c r="G64" i="16" s="1"/>
  <c r="A118" i="16"/>
  <c r="D117" i="16"/>
  <c r="B117" i="16"/>
  <c r="A119" i="16" l="1"/>
  <c r="D118" i="16"/>
  <c r="B118" i="16"/>
  <c r="E65" i="16"/>
  <c r="H65" i="16"/>
  <c r="J65" i="16" s="1"/>
  <c r="D119" i="16" l="1"/>
  <c r="A120" i="16"/>
  <c r="B119" i="16"/>
  <c r="I65" i="16"/>
  <c r="C66" i="16" s="1"/>
  <c r="F65" i="16"/>
  <c r="G65" i="16" s="1"/>
  <c r="E66" i="16" l="1"/>
  <c r="H66" i="16"/>
  <c r="J66" i="16" s="1"/>
  <c r="A121" i="16"/>
  <c r="D120" i="16"/>
  <c r="B120" i="16"/>
  <c r="A122" i="16" l="1"/>
  <c r="D121" i="16"/>
  <c r="B121" i="16"/>
  <c r="I66" i="16"/>
  <c r="C67" i="16" s="1"/>
  <c r="F66" i="16"/>
  <c r="G66" i="16" s="1"/>
  <c r="E67" i="16" l="1"/>
  <c r="H67" i="16"/>
  <c r="J67" i="16" s="1"/>
  <c r="A123" i="16"/>
  <c r="D122" i="16"/>
  <c r="B122" i="16"/>
  <c r="D123" i="16" l="1"/>
  <c r="A124" i="16"/>
  <c r="B123" i="16"/>
  <c r="F67" i="16"/>
  <c r="G67" i="16" s="1"/>
  <c r="I67" i="16"/>
  <c r="C68" i="16" s="1"/>
  <c r="H68" i="16" l="1"/>
  <c r="J68" i="16" s="1"/>
  <c r="E68" i="16"/>
  <c r="A125" i="16"/>
  <c r="D124" i="16"/>
  <c r="B124" i="16"/>
  <c r="A126" i="16" l="1"/>
  <c r="D125" i="16"/>
  <c r="B125" i="16"/>
  <c r="F68" i="16"/>
  <c r="G68" i="16" s="1"/>
  <c r="I68" i="16"/>
  <c r="C69" i="16" s="1"/>
  <c r="A127" i="16" l="1"/>
  <c r="D126" i="16"/>
  <c r="B126" i="16"/>
  <c r="H69" i="16"/>
  <c r="J69" i="16" s="1"/>
  <c r="E69" i="16"/>
  <c r="D127" i="16" l="1"/>
  <c r="A128" i="16"/>
  <c r="B127" i="16"/>
  <c r="I69" i="16"/>
  <c r="C70" i="16" s="1"/>
  <c r="F69" i="16"/>
  <c r="G69" i="16" s="1"/>
  <c r="A129" i="16" l="1"/>
  <c r="D128" i="16"/>
  <c r="B128" i="16"/>
  <c r="H70" i="16"/>
  <c r="J70" i="16" s="1"/>
  <c r="E70" i="16"/>
  <c r="I70" i="16" l="1"/>
  <c r="C71" i="16" s="1"/>
  <c r="F70" i="16"/>
  <c r="G70" i="16" s="1"/>
  <c r="A130" i="16"/>
  <c r="D129" i="16"/>
  <c r="B129" i="16"/>
  <c r="A131" i="16" l="1"/>
  <c r="D130" i="16"/>
  <c r="B130" i="16"/>
  <c r="H71" i="16"/>
  <c r="J71" i="16" s="1"/>
  <c r="E71" i="16"/>
  <c r="F71" i="16" l="1"/>
  <c r="G71" i="16" s="1"/>
  <c r="I71" i="16"/>
  <c r="C72" i="16" s="1"/>
  <c r="D131" i="16"/>
  <c r="A132" i="16"/>
  <c r="B131" i="16"/>
  <c r="H72" i="16" l="1"/>
  <c r="J72" i="16" s="1"/>
  <c r="E72" i="16"/>
  <c r="A133" i="16"/>
  <c r="D132" i="16"/>
  <c r="B132" i="16"/>
  <c r="A134" i="16" l="1"/>
  <c r="D133" i="16"/>
  <c r="B133" i="16"/>
  <c r="I72" i="16"/>
  <c r="C73" i="16" s="1"/>
  <c r="F72" i="16"/>
  <c r="G72" i="16" s="1"/>
  <c r="E73" i="16" l="1"/>
  <c r="H73" i="16"/>
  <c r="J73" i="16" s="1"/>
  <c r="A135" i="16"/>
  <c r="D134" i="16"/>
  <c r="B134" i="16"/>
  <c r="D135" i="16" l="1"/>
  <c r="A136" i="16"/>
  <c r="B135" i="16"/>
  <c r="I73" i="16"/>
  <c r="C74" i="16" s="1"/>
  <c r="F73" i="16"/>
  <c r="G73" i="16" s="1"/>
  <c r="A137" i="16" l="1"/>
  <c r="D136" i="16"/>
  <c r="B136" i="16"/>
  <c r="H74" i="16"/>
  <c r="J74" i="16" s="1"/>
  <c r="E74" i="16"/>
  <c r="F74" i="16" l="1"/>
  <c r="G74" i="16" s="1"/>
  <c r="I74" i="16"/>
  <c r="C75" i="16" s="1"/>
  <c r="A138" i="16"/>
  <c r="D137" i="16"/>
  <c r="B137" i="16"/>
  <c r="A139" i="16" l="1"/>
  <c r="D138" i="16"/>
  <c r="B138" i="16"/>
  <c r="H75" i="16"/>
  <c r="J75" i="16" s="1"/>
  <c r="E75" i="16"/>
  <c r="F75" i="16" l="1"/>
  <c r="G75" i="16" s="1"/>
  <c r="I75" i="16"/>
  <c r="C76" i="16" s="1"/>
  <c r="D139" i="16"/>
  <c r="A140" i="16"/>
  <c r="B139" i="16"/>
  <c r="H76" i="16" l="1"/>
  <c r="J76" i="16" s="1"/>
  <c r="E76" i="16"/>
  <c r="A141" i="16"/>
  <c r="D140" i="16"/>
  <c r="B140" i="16"/>
  <c r="A142" i="16" l="1"/>
  <c r="D141" i="16"/>
  <c r="B141" i="16"/>
  <c r="F76" i="16"/>
  <c r="G76" i="16" s="1"/>
  <c r="I76" i="16"/>
  <c r="C77" i="16" s="1"/>
  <c r="H77" i="16" l="1"/>
  <c r="J77" i="16" s="1"/>
  <c r="E77" i="16"/>
  <c r="A143" i="16"/>
  <c r="D142" i="16"/>
  <c r="B142" i="16"/>
  <c r="F77" i="16" l="1"/>
  <c r="G77" i="16" s="1"/>
  <c r="I77" i="16"/>
  <c r="C78" i="16" s="1"/>
  <c r="D143" i="16"/>
  <c r="A144" i="16"/>
  <c r="B143" i="16"/>
  <c r="A145" i="16" l="1"/>
  <c r="D144" i="16"/>
  <c r="B144" i="16"/>
  <c r="H78" i="16"/>
  <c r="J78" i="16" s="1"/>
  <c r="E78" i="16"/>
  <c r="I78" i="16" l="1"/>
  <c r="C79" i="16" s="1"/>
  <c r="F78" i="16"/>
  <c r="G78" i="16" s="1"/>
  <c r="A146" i="16"/>
  <c r="D145" i="16"/>
  <c r="B145" i="16"/>
  <c r="D146" i="16" l="1"/>
  <c r="A147" i="16"/>
  <c r="B146" i="16"/>
  <c r="H79" i="16"/>
  <c r="J79" i="16" s="1"/>
  <c r="E79" i="16"/>
  <c r="D147" i="16" l="1"/>
  <c r="A148" i="16"/>
  <c r="B147" i="16"/>
  <c r="I79" i="16"/>
  <c r="C80" i="16" s="1"/>
  <c r="F79" i="16"/>
  <c r="G79" i="16" s="1"/>
  <c r="H80" i="16" l="1"/>
  <c r="J80" i="16" s="1"/>
  <c r="E80" i="16"/>
  <c r="D148" i="16"/>
  <c r="A149" i="16"/>
  <c r="B148" i="16"/>
  <c r="D149" i="16" l="1"/>
  <c r="A150" i="16"/>
  <c r="B149" i="16"/>
  <c r="F80" i="16"/>
  <c r="G80" i="16" s="1"/>
  <c r="I80" i="16"/>
  <c r="C81" i="16" s="1"/>
  <c r="D150" i="16" l="1"/>
  <c r="A151" i="16"/>
  <c r="B150" i="16"/>
  <c r="H81" i="16"/>
  <c r="J81" i="16" s="1"/>
  <c r="E81" i="16"/>
  <c r="F81" i="16" l="1"/>
  <c r="G81" i="16" s="1"/>
  <c r="I81" i="16"/>
  <c r="C82" i="16" s="1"/>
  <c r="A152" i="16"/>
  <c r="D151" i="16"/>
  <c r="B151" i="16"/>
  <c r="H82" i="16" l="1"/>
  <c r="J82" i="16" s="1"/>
  <c r="E82" i="16"/>
  <c r="D152" i="16"/>
  <c r="A153" i="16"/>
  <c r="B152" i="16"/>
  <c r="F82" i="16" l="1"/>
  <c r="G82" i="16" s="1"/>
  <c r="I82" i="16"/>
  <c r="C83" i="16" s="1"/>
  <c r="A154" i="16"/>
  <c r="D153" i="16"/>
  <c r="B153" i="16"/>
  <c r="D154" i="16" l="1"/>
  <c r="A155" i="16"/>
  <c r="B154" i="16"/>
  <c r="H83" i="16"/>
  <c r="J83" i="16" s="1"/>
  <c r="E83" i="16"/>
  <c r="A156" i="16" l="1"/>
  <c r="D155" i="16"/>
  <c r="B155" i="16"/>
  <c r="F83" i="16"/>
  <c r="G83" i="16" s="1"/>
  <c r="I83" i="16"/>
  <c r="C84" i="16" s="1"/>
  <c r="H84" i="16" l="1"/>
  <c r="J84" i="16" s="1"/>
  <c r="E84" i="16"/>
  <c r="D156" i="16"/>
  <c r="A157" i="16"/>
  <c r="B156" i="16"/>
  <c r="F84" i="16" l="1"/>
  <c r="G84" i="16" s="1"/>
  <c r="I84" i="16"/>
  <c r="C85" i="16" s="1"/>
  <c r="D157" i="16"/>
  <c r="A158" i="16"/>
  <c r="B157" i="16"/>
  <c r="A159" i="16" l="1"/>
  <c r="D158" i="16"/>
  <c r="B158" i="16"/>
  <c r="H85" i="16"/>
  <c r="J85" i="16" s="1"/>
  <c r="E85" i="16"/>
  <c r="D159" i="16" l="1"/>
  <c r="A160" i="16"/>
  <c r="B159" i="16"/>
  <c r="F85" i="16"/>
  <c r="G85" i="16" s="1"/>
  <c r="I85" i="16"/>
  <c r="C86" i="16" s="1"/>
  <c r="E86" i="16" l="1"/>
  <c r="H86" i="16"/>
  <c r="J86" i="16" s="1"/>
  <c r="A161" i="16"/>
  <c r="D160" i="16"/>
  <c r="B160" i="16"/>
  <c r="D161" i="16" l="1"/>
  <c r="A162" i="16"/>
  <c r="B161" i="16"/>
  <c r="F86" i="16"/>
  <c r="G86" i="16" s="1"/>
  <c r="I86" i="16"/>
  <c r="C87" i="16" s="1"/>
  <c r="A163" i="16" l="1"/>
  <c r="D162" i="16"/>
  <c r="B162" i="16"/>
  <c r="E87" i="16"/>
  <c r="H87" i="16"/>
  <c r="J87" i="16" s="1"/>
  <c r="D163" i="16" l="1"/>
  <c r="A164" i="16"/>
  <c r="B163" i="16"/>
  <c r="I87" i="16"/>
  <c r="C88" i="16" s="1"/>
  <c r="F87" i="16"/>
  <c r="G87" i="16" s="1"/>
  <c r="H88" i="16" l="1"/>
  <c r="J88" i="16" s="1"/>
  <c r="E88" i="16"/>
  <c r="A165" i="16"/>
  <c r="D164" i="16"/>
  <c r="B164" i="16"/>
  <c r="F88" i="16" l="1"/>
  <c r="G88" i="16" s="1"/>
  <c r="I88" i="16"/>
  <c r="C89" i="16" s="1"/>
  <c r="D165" i="16"/>
  <c r="A166" i="16"/>
  <c r="B165" i="16"/>
  <c r="H89" i="16" l="1"/>
  <c r="J89" i="16" s="1"/>
  <c r="E89" i="16"/>
  <c r="A167" i="16"/>
  <c r="D166" i="16"/>
  <c r="B166" i="16"/>
  <c r="F89" i="16" l="1"/>
  <c r="G89" i="16" s="1"/>
  <c r="I89" i="16"/>
  <c r="C90" i="16" s="1"/>
  <c r="D167" i="16"/>
  <c r="A168" i="16"/>
  <c r="B167" i="16"/>
  <c r="H90" i="16" l="1"/>
  <c r="J90" i="16" s="1"/>
  <c r="E90" i="16"/>
  <c r="A169" i="16"/>
  <c r="D168" i="16"/>
  <c r="B168" i="16"/>
  <c r="I90" i="16" l="1"/>
  <c r="C91" i="16" s="1"/>
  <c r="F90" i="16"/>
  <c r="G90" i="16" s="1"/>
  <c r="D169" i="16"/>
  <c r="B169" i="16"/>
  <c r="A170" i="16"/>
  <c r="H91" i="16" l="1"/>
  <c r="J91" i="16" s="1"/>
  <c r="E91" i="16"/>
  <c r="A171" i="16"/>
  <c r="D170" i="16"/>
  <c r="B170" i="16"/>
  <c r="I91" i="16" l="1"/>
  <c r="C92" i="16" s="1"/>
  <c r="F91" i="16"/>
  <c r="G91" i="16" s="1"/>
  <c r="D171" i="16"/>
  <c r="A172" i="16"/>
  <c r="B171" i="16"/>
  <c r="A173" i="16" l="1"/>
  <c r="D172" i="16"/>
  <c r="B172" i="16"/>
  <c r="H92" i="16"/>
  <c r="J92" i="16" s="1"/>
  <c r="E92" i="16"/>
  <c r="D173" i="16" l="1"/>
  <c r="A174" i="16"/>
  <c r="B173" i="16"/>
  <c r="F92" i="16"/>
  <c r="G92" i="16" s="1"/>
  <c r="I92" i="16"/>
  <c r="C93" i="16" s="1"/>
  <c r="E93" i="16" l="1"/>
  <c r="H93" i="16"/>
  <c r="J93" i="16" s="1"/>
  <c r="A175" i="16"/>
  <c r="D174" i="16"/>
  <c r="B174" i="16"/>
  <c r="D175" i="16" l="1"/>
  <c r="A176" i="16"/>
  <c r="B175" i="16"/>
  <c r="I93" i="16"/>
  <c r="C94" i="16" s="1"/>
  <c r="F93" i="16"/>
  <c r="G93" i="16" s="1"/>
  <c r="D176" i="16" l="1"/>
  <c r="A177" i="16"/>
  <c r="B176" i="16"/>
  <c r="H94" i="16"/>
  <c r="J94" i="16" s="1"/>
  <c r="E94" i="16"/>
  <c r="D177" i="16" l="1"/>
  <c r="A178" i="16"/>
  <c r="B177" i="16"/>
  <c r="F94" i="16"/>
  <c r="G94" i="16" s="1"/>
  <c r="I94" i="16"/>
  <c r="C95" i="16" s="1"/>
  <c r="A179" i="16" l="1"/>
  <c r="D178" i="16"/>
  <c r="B178" i="16"/>
  <c r="H95" i="16"/>
  <c r="J95" i="16" s="1"/>
  <c r="E95" i="16"/>
  <c r="D179" i="16" l="1"/>
  <c r="A180" i="16"/>
  <c r="B179" i="16"/>
  <c r="I95" i="16"/>
  <c r="C96" i="16" s="1"/>
  <c r="F95" i="16"/>
  <c r="G95" i="16" s="1"/>
  <c r="A181" i="16" l="1"/>
  <c r="D180" i="16"/>
  <c r="B180" i="16"/>
  <c r="H96" i="16"/>
  <c r="J96" i="16" s="1"/>
  <c r="E96" i="16"/>
  <c r="D181" i="16" l="1"/>
  <c r="A182" i="16"/>
  <c r="B181" i="16"/>
  <c r="I96" i="16"/>
  <c r="C97" i="16" s="1"/>
  <c r="F96" i="16"/>
  <c r="G96" i="16" s="1"/>
  <c r="H97" i="16" l="1"/>
  <c r="J97" i="16" s="1"/>
  <c r="E97" i="16"/>
  <c r="D182" i="16"/>
  <c r="A183" i="16"/>
  <c r="B182" i="16"/>
  <c r="D183" i="16" l="1"/>
  <c r="A184" i="16"/>
  <c r="B183" i="16"/>
  <c r="F97" i="16"/>
  <c r="G97" i="16" s="1"/>
  <c r="I97" i="16"/>
  <c r="C98" i="16" s="1"/>
  <c r="H98" i="16" l="1"/>
  <c r="J98" i="16" s="1"/>
  <c r="E98" i="16"/>
  <c r="D184" i="16"/>
  <c r="A185" i="16"/>
  <c r="B184" i="16"/>
  <c r="I98" i="16" l="1"/>
  <c r="C99" i="16" s="1"/>
  <c r="F98" i="16"/>
  <c r="G98" i="16" s="1"/>
  <c r="D185" i="16"/>
  <c r="A186" i="16"/>
  <c r="B185" i="16"/>
  <c r="H99" i="16" l="1"/>
  <c r="J99" i="16" s="1"/>
  <c r="E99" i="16"/>
  <c r="A187" i="16"/>
  <c r="D186" i="16"/>
  <c r="B186" i="16"/>
  <c r="D187" i="16" l="1"/>
  <c r="A188" i="16"/>
  <c r="B187" i="16"/>
  <c r="I99" i="16"/>
  <c r="C100" i="16" s="1"/>
  <c r="F99" i="16"/>
  <c r="G99" i="16" s="1"/>
  <c r="H100" i="16" l="1"/>
  <c r="J100" i="16" s="1"/>
  <c r="E100" i="16"/>
  <c r="A189" i="16"/>
  <c r="D188" i="16"/>
  <c r="B188" i="16"/>
  <c r="I100" i="16" l="1"/>
  <c r="C101" i="16" s="1"/>
  <c r="F100" i="16"/>
  <c r="G100" i="16" s="1"/>
  <c r="D189" i="16"/>
  <c r="B189" i="16"/>
  <c r="A190" i="16"/>
  <c r="A191" i="16" l="1"/>
  <c r="D190" i="16"/>
  <c r="B190" i="16"/>
  <c r="H101" i="16"/>
  <c r="J101" i="16" s="1"/>
  <c r="E101" i="16"/>
  <c r="I101" i="16" l="1"/>
  <c r="C102" i="16" s="1"/>
  <c r="F101" i="16"/>
  <c r="G101" i="16" s="1"/>
  <c r="D191" i="16"/>
  <c r="A192" i="16"/>
  <c r="B191" i="16"/>
  <c r="H102" i="16" l="1"/>
  <c r="J102" i="16" s="1"/>
  <c r="E102" i="16"/>
  <c r="D192" i="16"/>
  <c r="A193" i="16"/>
  <c r="B192" i="16"/>
  <c r="D193" i="16" l="1"/>
  <c r="A194" i="16"/>
  <c r="B193" i="16"/>
  <c r="F102" i="16"/>
  <c r="G102" i="16" s="1"/>
  <c r="I102" i="16"/>
  <c r="C103" i="16" s="1"/>
  <c r="H103" i="16" l="1"/>
  <c r="J103" i="16" s="1"/>
  <c r="E103" i="16"/>
  <c r="A195" i="16"/>
  <c r="D194" i="16"/>
  <c r="B194" i="16"/>
  <c r="F103" i="16" l="1"/>
  <c r="G103" i="16" s="1"/>
  <c r="I103" i="16"/>
  <c r="C104" i="16" s="1"/>
  <c r="D195" i="16"/>
  <c r="A196" i="16"/>
  <c r="B195" i="16"/>
  <c r="H104" i="16" l="1"/>
  <c r="J104" i="16" s="1"/>
  <c r="E104" i="16"/>
  <c r="A197" i="16"/>
  <c r="B196" i="16"/>
  <c r="D196" i="16"/>
  <c r="D197" i="16" l="1"/>
  <c r="A198" i="16"/>
  <c r="B197" i="16"/>
  <c r="F104" i="16"/>
  <c r="G104" i="16" s="1"/>
  <c r="I104" i="16"/>
  <c r="C105" i="16" s="1"/>
  <c r="D198" i="16" l="1"/>
  <c r="A199" i="16"/>
  <c r="B198" i="16"/>
  <c r="H105" i="16"/>
  <c r="J105" i="16" s="1"/>
  <c r="E105" i="16"/>
  <c r="F105" i="16" l="1"/>
  <c r="G105" i="16" s="1"/>
  <c r="I105" i="16"/>
  <c r="C106" i="16" s="1"/>
  <c r="D199" i="16"/>
  <c r="A200" i="16"/>
  <c r="B199" i="16"/>
  <c r="H106" i="16" l="1"/>
  <c r="J106" i="16" s="1"/>
  <c r="E106" i="16"/>
  <c r="D200" i="16"/>
  <c r="A201" i="16"/>
  <c r="B200" i="16"/>
  <c r="D201" i="16" l="1"/>
  <c r="A202" i="16"/>
  <c r="B201" i="16"/>
  <c r="I106" i="16"/>
  <c r="C107" i="16" s="1"/>
  <c r="F106" i="16"/>
  <c r="G106" i="16" s="1"/>
  <c r="A203" i="16" l="1"/>
  <c r="D202" i="16"/>
  <c r="B202" i="16"/>
  <c r="E107" i="16"/>
  <c r="H107" i="16"/>
  <c r="J107" i="16" s="1"/>
  <c r="F107" i="16" l="1"/>
  <c r="G107" i="16" s="1"/>
  <c r="I107" i="16"/>
  <c r="C108" i="16" s="1"/>
  <c r="D203" i="16"/>
  <c r="A204" i="16"/>
  <c r="B203" i="16"/>
  <c r="E108" i="16" l="1"/>
  <c r="H108" i="16"/>
  <c r="J108" i="16" s="1"/>
  <c r="A205" i="16"/>
  <c r="D204" i="16"/>
  <c r="B204" i="16"/>
  <c r="D205" i="16" l="1"/>
  <c r="A206" i="16"/>
  <c r="B205" i="16"/>
  <c r="I108" i="16"/>
  <c r="C109" i="16" s="1"/>
  <c r="F108" i="16"/>
  <c r="G108" i="16" s="1"/>
  <c r="D206" i="16" l="1"/>
  <c r="B206" i="16"/>
  <c r="A207" i="16"/>
  <c r="H109" i="16"/>
  <c r="J109" i="16" s="1"/>
  <c r="E109" i="16"/>
  <c r="F109" i="16" l="1"/>
  <c r="G109" i="16" s="1"/>
  <c r="I109" i="16"/>
  <c r="C110" i="16" s="1"/>
  <c r="D207" i="16"/>
  <c r="A208" i="16"/>
  <c r="B207" i="16"/>
  <c r="D208" i="16" l="1"/>
  <c r="B208" i="16"/>
  <c r="A209" i="16"/>
  <c r="H110" i="16"/>
  <c r="J110" i="16" s="1"/>
  <c r="E110" i="16"/>
  <c r="D209" i="16" l="1"/>
  <c r="A210" i="16"/>
  <c r="B209" i="16"/>
  <c r="F110" i="16"/>
  <c r="G110" i="16" s="1"/>
  <c r="I110" i="16"/>
  <c r="C111" i="16" s="1"/>
  <c r="A211" i="16" l="1"/>
  <c r="D210" i="16"/>
  <c r="B210" i="16"/>
  <c r="H111" i="16"/>
  <c r="J111" i="16" s="1"/>
  <c r="E111" i="16"/>
  <c r="F111" i="16" l="1"/>
  <c r="G111" i="16" s="1"/>
  <c r="I111" i="16"/>
  <c r="C112" i="16" s="1"/>
  <c r="D211" i="16"/>
  <c r="A212" i="16"/>
  <c r="B211" i="16"/>
  <c r="H112" i="16" l="1"/>
  <c r="J112" i="16" s="1"/>
  <c r="E112" i="16"/>
  <c r="A213" i="16"/>
  <c r="D212" i="16"/>
  <c r="B212" i="16"/>
  <c r="I112" i="16" l="1"/>
  <c r="C113" i="16" s="1"/>
  <c r="F112" i="16"/>
  <c r="G112" i="16" s="1"/>
  <c r="D213" i="16"/>
  <c r="A214" i="16"/>
  <c r="B213" i="16"/>
  <c r="A215" i="16" l="1"/>
  <c r="D214" i="16"/>
  <c r="B214" i="16"/>
  <c r="H113" i="16"/>
  <c r="J113" i="16" s="1"/>
  <c r="E113" i="16"/>
  <c r="I113" i="16" l="1"/>
  <c r="C114" i="16" s="1"/>
  <c r="F113" i="16"/>
  <c r="G113" i="16" s="1"/>
  <c r="D215" i="16"/>
  <c r="A216" i="16"/>
  <c r="B215" i="16"/>
  <c r="A217" i="16" l="1"/>
  <c r="D216" i="16"/>
  <c r="B216" i="16"/>
  <c r="H114" i="16"/>
  <c r="J114" i="16" s="1"/>
  <c r="E114" i="16"/>
  <c r="A218" i="16" l="1"/>
  <c r="D217" i="16"/>
  <c r="B217" i="16"/>
  <c r="I114" i="16"/>
  <c r="C115" i="16" s="1"/>
  <c r="F114" i="16"/>
  <c r="G114" i="16" s="1"/>
  <c r="H115" i="16" l="1"/>
  <c r="J115" i="16" s="1"/>
  <c r="E115" i="16"/>
  <c r="A219" i="16"/>
  <c r="D218" i="16"/>
  <c r="B218" i="16"/>
  <c r="D219" i="16" l="1"/>
  <c r="A220" i="16"/>
  <c r="B219" i="16"/>
  <c r="F115" i="16"/>
  <c r="G115" i="16" s="1"/>
  <c r="I115" i="16"/>
  <c r="C116" i="16" s="1"/>
  <c r="A221" i="16" l="1"/>
  <c r="D220" i="16"/>
  <c r="B220" i="16"/>
  <c r="E116" i="16"/>
  <c r="H116" i="16"/>
  <c r="J116" i="16" s="1"/>
  <c r="I116" i="16" l="1"/>
  <c r="C117" i="16" s="1"/>
  <c r="F116" i="16"/>
  <c r="G116" i="16" s="1"/>
  <c r="A222" i="16"/>
  <c r="D221" i="16"/>
  <c r="B221" i="16"/>
  <c r="H117" i="16" l="1"/>
  <c r="J117" i="16" s="1"/>
  <c r="E117" i="16"/>
  <c r="A223" i="16"/>
  <c r="D222" i="16"/>
  <c r="B222" i="16"/>
  <c r="I117" i="16" l="1"/>
  <c r="C118" i="16" s="1"/>
  <c r="F117" i="16"/>
  <c r="G117" i="16" s="1"/>
  <c r="D223" i="16"/>
  <c r="A224" i="16"/>
  <c r="B223" i="16"/>
  <c r="A225" i="16" l="1"/>
  <c r="D224" i="16"/>
  <c r="B224" i="16"/>
  <c r="H118" i="16"/>
  <c r="J118" i="16" s="1"/>
  <c r="E118" i="16"/>
  <c r="A226" i="16" l="1"/>
  <c r="D225" i="16"/>
  <c r="B225" i="16"/>
  <c r="I118" i="16"/>
  <c r="C119" i="16" s="1"/>
  <c r="F118" i="16"/>
  <c r="G118" i="16" s="1"/>
  <c r="A227" i="16" l="1"/>
  <c r="D226" i="16"/>
  <c r="B226" i="16"/>
  <c r="E119" i="16"/>
  <c r="H119" i="16"/>
  <c r="J119" i="16" s="1"/>
  <c r="F119" i="16" l="1"/>
  <c r="G119" i="16" s="1"/>
  <c r="I119" i="16"/>
  <c r="C120" i="16" s="1"/>
  <c r="D227" i="16"/>
  <c r="A228" i="16"/>
  <c r="B227" i="16"/>
  <c r="H120" i="16" l="1"/>
  <c r="J120" i="16" s="1"/>
  <c r="E120" i="16"/>
  <c r="A229" i="16"/>
  <c r="D228" i="16"/>
  <c r="B228" i="16"/>
  <c r="I120" i="16" l="1"/>
  <c r="C121" i="16" s="1"/>
  <c r="F120" i="16"/>
  <c r="G120" i="16" s="1"/>
  <c r="D229" i="16"/>
  <c r="A230" i="16"/>
  <c r="B229" i="16"/>
  <c r="A231" i="16" l="1"/>
  <c r="D230" i="16"/>
  <c r="B230" i="16"/>
  <c r="H121" i="16"/>
  <c r="J121" i="16" s="1"/>
  <c r="E121" i="16"/>
  <c r="I121" i="16" l="1"/>
  <c r="C122" i="16" s="1"/>
  <c r="F121" i="16"/>
  <c r="G121" i="16" s="1"/>
  <c r="D231" i="16"/>
  <c r="A232" i="16"/>
  <c r="B231" i="16"/>
  <c r="H122" i="16" l="1"/>
  <c r="J122" i="16" s="1"/>
  <c r="E122" i="16"/>
  <c r="A233" i="16"/>
  <c r="D232" i="16"/>
  <c r="B232" i="16"/>
  <c r="A234" i="16" l="1"/>
  <c r="D233" i="16"/>
  <c r="B233" i="16"/>
  <c r="I122" i="16"/>
  <c r="C123" i="16" s="1"/>
  <c r="F122" i="16"/>
  <c r="G122" i="16" s="1"/>
  <c r="H123" i="16" l="1"/>
  <c r="J123" i="16" s="1"/>
  <c r="E123" i="16"/>
  <c r="A235" i="16"/>
  <c r="D234" i="16"/>
  <c r="B234" i="16"/>
  <c r="F123" i="16" l="1"/>
  <c r="G123" i="16" s="1"/>
  <c r="I123" i="16"/>
  <c r="C124" i="16" s="1"/>
  <c r="D235" i="16"/>
  <c r="A236" i="16"/>
  <c r="B235" i="16"/>
  <c r="H124" i="16" l="1"/>
  <c r="J124" i="16" s="1"/>
  <c r="E124" i="16"/>
  <c r="A237" i="16"/>
  <c r="D236" i="16"/>
  <c r="B236" i="16"/>
  <c r="I124" i="16" l="1"/>
  <c r="C125" i="16" s="1"/>
  <c r="F124" i="16"/>
  <c r="G124" i="16" s="1"/>
  <c r="A238" i="16"/>
  <c r="D237" i="16"/>
  <c r="B237" i="16"/>
  <c r="A239" i="16" l="1"/>
  <c r="D238" i="16"/>
  <c r="B238" i="16"/>
  <c r="H125" i="16"/>
  <c r="J125" i="16" s="1"/>
  <c r="E125" i="16"/>
  <c r="D239" i="16" l="1"/>
  <c r="A240" i="16"/>
  <c r="B239" i="16"/>
  <c r="I125" i="16"/>
  <c r="C126" i="16" s="1"/>
  <c r="F125" i="16"/>
  <c r="G125" i="16" s="1"/>
  <c r="H126" i="16" l="1"/>
  <c r="J126" i="16" s="1"/>
  <c r="E126" i="16"/>
  <c r="A241" i="16"/>
  <c r="D240" i="16"/>
  <c r="B240" i="16"/>
  <c r="I126" i="16" l="1"/>
  <c r="C127" i="16" s="1"/>
  <c r="F126" i="16"/>
  <c r="G126" i="16" s="1"/>
  <c r="A242" i="16"/>
  <c r="D241" i="16"/>
  <c r="B241" i="16"/>
  <c r="A243" i="16" l="1"/>
  <c r="D242" i="16"/>
  <c r="B242" i="16"/>
  <c r="H127" i="16"/>
  <c r="J127" i="16" s="1"/>
  <c r="E127" i="16"/>
  <c r="D243" i="16" l="1"/>
  <c r="A244" i="16"/>
  <c r="B243" i="16"/>
  <c r="I127" i="16"/>
  <c r="C128" i="16" s="1"/>
  <c r="F127" i="16"/>
  <c r="G127" i="16" s="1"/>
  <c r="H128" i="16" l="1"/>
  <c r="J128" i="16" s="1"/>
  <c r="E128" i="16"/>
  <c r="A245" i="16"/>
  <c r="D244" i="16"/>
  <c r="B244" i="16"/>
  <c r="F128" i="16" l="1"/>
  <c r="G128" i="16" s="1"/>
  <c r="I128" i="16"/>
  <c r="C129" i="16" s="1"/>
  <c r="D245" i="16"/>
  <c r="B245" i="16"/>
  <c r="A246" i="16"/>
  <c r="A247" i="16" l="1"/>
  <c r="D246" i="16"/>
  <c r="B246" i="16"/>
  <c r="H129" i="16"/>
  <c r="J129" i="16" s="1"/>
  <c r="E129" i="16"/>
  <c r="D247" i="16" l="1"/>
  <c r="A248" i="16"/>
  <c r="B247" i="16"/>
  <c r="I129" i="16"/>
  <c r="C130" i="16" s="1"/>
  <c r="F129" i="16"/>
  <c r="G129" i="16" s="1"/>
  <c r="A249" i="16" l="1"/>
  <c r="D248" i="16"/>
  <c r="B248" i="16"/>
  <c r="H130" i="16"/>
  <c r="J130" i="16" s="1"/>
  <c r="E130" i="16"/>
  <c r="A250" i="16" l="1"/>
  <c r="D249" i="16"/>
  <c r="B249" i="16"/>
  <c r="I130" i="16"/>
  <c r="C131" i="16" s="1"/>
  <c r="F130" i="16"/>
  <c r="G130" i="16" s="1"/>
  <c r="H131" i="16" l="1"/>
  <c r="J131" i="16" s="1"/>
  <c r="E131" i="16"/>
  <c r="A251" i="16"/>
  <c r="D250" i="16"/>
  <c r="B250" i="16"/>
  <c r="F131" i="16" l="1"/>
  <c r="G131" i="16" s="1"/>
  <c r="I131" i="16"/>
  <c r="C132" i="16" s="1"/>
  <c r="D251" i="16"/>
  <c r="A252" i="16"/>
  <c r="B251" i="16"/>
  <c r="E132" i="16" l="1"/>
  <c r="H132" i="16"/>
  <c r="J132" i="16" s="1"/>
  <c r="A253" i="16"/>
  <c r="D252" i="16"/>
  <c r="B252" i="16"/>
  <c r="F132" i="16" l="1"/>
  <c r="G132" i="16" s="1"/>
  <c r="I132" i="16"/>
  <c r="C133" i="16" s="1"/>
  <c r="B253" i="16"/>
  <c r="A254" i="16"/>
  <c r="D253" i="16"/>
  <c r="H133" i="16" l="1"/>
  <c r="J133" i="16" s="1"/>
  <c r="E133" i="16"/>
  <c r="A255" i="16"/>
  <c r="D254" i="16"/>
  <c r="B254" i="16"/>
  <c r="D255" i="16" l="1"/>
  <c r="A256" i="16"/>
  <c r="B255" i="16"/>
  <c r="I133" i="16"/>
  <c r="C134" i="16" s="1"/>
  <c r="F133" i="16"/>
  <c r="G133" i="16" s="1"/>
  <c r="A257" i="16" l="1"/>
  <c r="D256" i="16"/>
  <c r="B256" i="16"/>
  <c r="H134" i="16"/>
  <c r="J134" i="16" s="1"/>
  <c r="E134" i="16"/>
  <c r="B257" i="16" l="1"/>
  <c r="A258" i="16"/>
  <c r="D257" i="16"/>
  <c r="I134" i="16"/>
  <c r="C135" i="16" s="1"/>
  <c r="F134" i="16"/>
  <c r="G134" i="16" s="1"/>
  <c r="A259" i="16" l="1"/>
  <c r="D258" i="16"/>
  <c r="B258" i="16"/>
  <c r="H135" i="16"/>
  <c r="J135" i="16" s="1"/>
  <c r="E135" i="16"/>
  <c r="D259" i="16" l="1"/>
  <c r="B259" i="16"/>
  <c r="A260" i="16"/>
  <c r="I135" i="16"/>
  <c r="C136" i="16" s="1"/>
  <c r="F135" i="16"/>
  <c r="G135" i="16" s="1"/>
  <c r="H136" i="16" l="1"/>
  <c r="J136" i="16" s="1"/>
  <c r="E136" i="16"/>
  <c r="A261" i="16"/>
  <c r="D260" i="16"/>
  <c r="B260" i="16"/>
  <c r="F136" i="16" l="1"/>
  <c r="G136" i="16" s="1"/>
  <c r="I136" i="16"/>
  <c r="C137" i="16" s="1"/>
  <c r="D261" i="16"/>
  <c r="B261" i="16"/>
  <c r="A262" i="16"/>
  <c r="H137" i="16" l="1"/>
  <c r="J137" i="16" s="1"/>
  <c r="E137" i="16"/>
  <c r="A263" i="16"/>
  <c r="D262" i="16"/>
  <c r="B262" i="16"/>
  <c r="I137" i="16" l="1"/>
  <c r="C138" i="16" s="1"/>
  <c r="F137" i="16"/>
  <c r="G137" i="16" s="1"/>
  <c r="D263" i="16"/>
  <c r="A264" i="16"/>
  <c r="B263" i="16"/>
  <c r="A265" i="16" l="1"/>
  <c r="D264" i="16"/>
  <c r="B264" i="16"/>
  <c r="H138" i="16"/>
  <c r="J138" i="16" s="1"/>
  <c r="E138" i="16"/>
  <c r="A266" i="16" l="1"/>
  <c r="B265" i="16"/>
  <c r="D265" i="16"/>
  <c r="I138" i="16"/>
  <c r="C139" i="16" s="1"/>
  <c r="F138" i="16"/>
  <c r="G138" i="16" s="1"/>
  <c r="H139" i="16" l="1"/>
  <c r="J139" i="16" s="1"/>
  <c r="E139" i="16"/>
  <c r="A267" i="16"/>
  <c r="D266" i="16"/>
  <c r="B266" i="16"/>
  <c r="F139" i="16" l="1"/>
  <c r="G139" i="16" s="1"/>
  <c r="I139" i="16"/>
  <c r="C140" i="16" s="1"/>
  <c r="D267" i="16"/>
  <c r="A268" i="16"/>
  <c r="B267" i="16"/>
  <c r="H140" i="16" l="1"/>
  <c r="J140" i="16" s="1"/>
  <c r="E140" i="16"/>
  <c r="A269" i="16"/>
  <c r="D268" i="16"/>
  <c r="B268" i="16"/>
  <c r="F140" i="16" l="1"/>
  <c r="G140" i="16" s="1"/>
  <c r="I140" i="16"/>
  <c r="C141" i="16" s="1"/>
  <c r="B269" i="16"/>
  <c r="A270" i="16"/>
  <c r="D269" i="16"/>
  <c r="H141" i="16" l="1"/>
  <c r="J141" i="16" s="1"/>
  <c r="E141" i="16"/>
  <c r="A271" i="16"/>
  <c r="D270" i="16"/>
  <c r="B270" i="16"/>
  <c r="F141" i="16" l="1"/>
  <c r="G141" i="16" s="1"/>
  <c r="I141" i="16"/>
  <c r="C142" i="16" s="1"/>
  <c r="D271" i="16"/>
  <c r="A272" i="16"/>
  <c r="B271" i="16"/>
  <c r="H142" i="16" l="1"/>
  <c r="J142" i="16" s="1"/>
  <c r="E142" i="16"/>
  <c r="D272" i="16"/>
  <c r="A273" i="16"/>
  <c r="B272" i="16"/>
  <c r="I142" i="16" l="1"/>
  <c r="C143" i="16" s="1"/>
  <c r="F142" i="16"/>
  <c r="G142" i="16" s="1"/>
  <c r="D273" i="16"/>
  <c r="A274" i="16"/>
  <c r="B273" i="16"/>
  <c r="H143" i="16" l="1"/>
  <c r="J143" i="16" s="1"/>
  <c r="E143" i="16"/>
  <c r="D274" i="16"/>
  <c r="A275" i="16"/>
  <c r="B274" i="16"/>
  <c r="F143" i="16" l="1"/>
  <c r="G143" i="16" s="1"/>
  <c r="I143" i="16"/>
  <c r="C144" i="16" s="1"/>
  <c r="A276" i="16"/>
  <c r="D275" i="16"/>
  <c r="B275" i="16"/>
  <c r="H144" i="16" l="1"/>
  <c r="J144" i="16" s="1"/>
  <c r="E144" i="16"/>
  <c r="D276" i="16"/>
  <c r="A277" i="16"/>
  <c r="B276" i="16"/>
  <c r="I144" i="16" l="1"/>
  <c r="C145" i="16" s="1"/>
  <c r="F144" i="16"/>
  <c r="G144" i="16" s="1"/>
  <c r="B277" i="16"/>
  <c r="A278" i="16"/>
  <c r="D277" i="16"/>
  <c r="D278" i="16" l="1"/>
  <c r="A279" i="16"/>
  <c r="B278" i="16"/>
  <c r="H145" i="16"/>
  <c r="J145" i="16" s="1"/>
  <c r="E145" i="16"/>
  <c r="A280" i="16" l="1"/>
  <c r="D279" i="16"/>
  <c r="B279" i="16"/>
  <c r="F145" i="16"/>
  <c r="G145" i="16" s="1"/>
  <c r="I145" i="16"/>
  <c r="C146" i="16" s="1"/>
  <c r="D280" i="16" l="1"/>
  <c r="A281" i="16"/>
  <c r="B280" i="16"/>
  <c r="H146" i="16"/>
  <c r="J146" i="16" s="1"/>
  <c r="E146" i="16"/>
  <c r="D281" i="16" l="1"/>
  <c r="B281" i="16"/>
  <c r="A282" i="16"/>
  <c r="F146" i="16"/>
  <c r="G146" i="16" s="1"/>
  <c r="I146" i="16"/>
  <c r="C147" i="16" s="1"/>
  <c r="H147" i="16" l="1"/>
  <c r="J147" i="16" s="1"/>
  <c r="E147" i="16"/>
  <c r="D282" i="16"/>
  <c r="A283" i="16"/>
  <c r="B282" i="16"/>
  <c r="I147" i="16" l="1"/>
  <c r="C148" i="16" s="1"/>
  <c r="F147" i="16"/>
  <c r="G147" i="16" s="1"/>
  <c r="A284" i="16"/>
  <c r="D283" i="16"/>
  <c r="B283" i="16"/>
  <c r="D284" i="16" l="1"/>
  <c r="A285" i="16"/>
  <c r="B284" i="16"/>
  <c r="H148" i="16"/>
  <c r="J148" i="16" s="1"/>
  <c r="E148" i="16"/>
  <c r="I148" i="16" l="1"/>
  <c r="C149" i="16" s="1"/>
  <c r="F148" i="16"/>
  <c r="G148" i="16" s="1"/>
  <c r="A286" i="16"/>
  <c r="B285" i="16"/>
  <c r="D285" i="16"/>
  <c r="H149" i="16" l="1"/>
  <c r="J149" i="16" s="1"/>
  <c r="E149" i="16"/>
  <c r="D286" i="16"/>
  <c r="A287" i="16"/>
  <c r="B286" i="16"/>
  <c r="D287" i="16" l="1"/>
  <c r="B287" i="16"/>
  <c r="A288" i="16"/>
  <c r="F149" i="16"/>
  <c r="G149" i="16" s="1"/>
  <c r="I149" i="16"/>
  <c r="C150" i="16" s="1"/>
  <c r="H150" i="16" l="1"/>
  <c r="J150" i="16" s="1"/>
  <c r="E150" i="16"/>
  <c r="D288" i="16"/>
  <c r="A289" i="16"/>
  <c r="B288" i="16"/>
  <c r="I150" i="16" l="1"/>
  <c r="C151" i="16" s="1"/>
  <c r="F150" i="16"/>
  <c r="G150" i="16" s="1"/>
  <c r="D289" i="16"/>
  <c r="B289" i="16"/>
  <c r="A290" i="16"/>
  <c r="D290" i="16" l="1"/>
  <c r="A291" i="16"/>
  <c r="B290" i="16"/>
  <c r="H151" i="16"/>
  <c r="J151" i="16" s="1"/>
  <c r="E151" i="16"/>
  <c r="F151" i="16" l="1"/>
  <c r="G151" i="16" s="1"/>
  <c r="I151" i="16"/>
  <c r="C152" i="16" s="1"/>
  <c r="A292" i="16"/>
  <c r="D291" i="16"/>
  <c r="B291" i="16"/>
  <c r="H152" i="16" l="1"/>
  <c r="J152" i="16" s="1"/>
  <c r="E152" i="16"/>
  <c r="D292" i="16"/>
  <c r="A293" i="16"/>
  <c r="B292" i="16"/>
  <c r="D293" i="16" l="1"/>
  <c r="B293" i="16"/>
  <c r="A294" i="16"/>
  <c r="F152" i="16"/>
  <c r="G152" i="16" s="1"/>
  <c r="I152" i="16"/>
  <c r="C153" i="16" s="1"/>
  <c r="D294" i="16" l="1"/>
  <c r="B294" i="16"/>
  <c r="A295" i="16"/>
  <c r="H153" i="16"/>
  <c r="J153" i="16" s="1"/>
  <c r="E153" i="16"/>
  <c r="I153" i="16" l="1"/>
  <c r="C154" i="16" s="1"/>
  <c r="F153" i="16"/>
  <c r="G153" i="16" s="1"/>
  <c r="B295" i="16"/>
  <c r="A296" i="16"/>
  <c r="D295" i="16"/>
  <c r="D296" i="16" l="1"/>
  <c r="A297" i="16"/>
  <c r="B296" i="16"/>
  <c r="H154" i="16"/>
  <c r="J154" i="16" s="1"/>
  <c r="E154" i="16"/>
  <c r="D297" i="16" l="1"/>
  <c r="B297" i="16"/>
  <c r="A298" i="16"/>
  <c r="I154" i="16"/>
  <c r="C155" i="16" s="1"/>
  <c r="F154" i="16"/>
  <c r="G154" i="16" s="1"/>
  <c r="H155" i="16" l="1"/>
  <c r="J155" i="16" s="1"/>
  <c r="E155" i="16"/>
  <c r="D298" i="16"/>
  <c r="A299" i="16"/>
  <c r="B298" i="16"/>
  <c r="F155" i="16" l="1"/>
  <c r="G155" i="16" s="1"/>
  <c r="I155" i="16"/>
  <c r="C156" i="16" s="1"/>
  <c r="A300" i="16"/>
  <c r="D299" i="16"/>
  <c r="B299" i="16"/>
  <c r="D300" i="16" l="1"/>
  <c r="B300" i="16"/>
  <c r="A301" i="16"/>
  <c r="E156" i="16"/>
  <c r="H156" i="16"/>
  <c r="J156" i="16" s="1"/>
  <c r="B301" i="16" l="1"/>
  <c r="A302" i="16"/>
  <c r="D301" i="16"/>
  <c r="F156" i="16"/>
  <c r="G156" i="16" s="1"/>
  <c r="I156" i="16"/>
  <c r="C157" i="16" s="1"/>
  <c r="H157" i="16" l="1"/>
  <c r="J157" i="16" s="1"/>
  <c r="E157" i="16"/>
  <c r="D302" i="16"/>
  <c r="B302" i="16"/>
  <c r="A303" i="16"/>
  <c r="A304" i="16" l="1"/>
  <c r="D303" i="16"/>
  <c r="B303" i="16"/>
  <c r="I157" i="16"/>
  <c r="C158" i="16" s="1"/>
  <c r="F157" i="16"/>
  <c r="G157" i="16" s="1"/>
  <c r="H158" i="16" l="1"/>
  <c r="J158" i="16" s="1"/>
  <c r="E158" i="16"/>
  <c r="D304" i="16"/>
  <c r="A305" i="16"/>
  <c r="B304" i="16"/>
  <c r="F158" i="16" l="1"/>
  <c r="G158" i="16" s="1"/>
  <c r="I158" i="16"/>
  <c r="C159" i="16" s="1"/>
  <c r="D305" i="16"/>
  <c r="A306" i="16"/>
  <c r="B305" i="16"/>
  <c r="H159" i="16" l="1"/>
  <c r="J159" i="16" s="1"/>
  <c r="E159" i="16"/>
  <c r="D306" i="16"/>
  <c r="A307" i="16"/>
  <c r="B306" i="16"/>
  <c r="I159" i="16" l="1"/>
  <c r="C160" i="16" s="1"/>
  <c r="F159" i="16"/>
  <c r="G159" i="16" s="1"/>
  <c r="A308" i="16"/>
  <c r="B307" i="16"/>
  <c r="D307" i="16"/>
  <c r="D308" i="16" l="1"/>
  <c r="A309" i="16"/>
  <c r="B308" i="16"/>
  <c r="H160" i="16"/>
  <c r="J160" i="16" s="1"/>
  <c r="E160" i="16"/>
  <c r="B309" i="16" l="1"/>
  <c r="A310" i="16"/>
  <c r="D309" i="16"/>
  <c r="I160" i="16"/>
  <c r="C161" i="16" s="1"/>
  <c r="F160" i="16"/>
  <c r="G160" i="16" s="1"/>
  <c r="H161" i="16" l="1"/>
  <c r="J161" i="16" s="1"/>
  <c r="E161" i="16"/>
  <c r="D310" i="16"/>
  <c r="A311" i="16"/>
  <c r="B310" i="16"/>
  <c r="I161" i="16" l="1"/>
  <c r="C162" i="16" s="1"/>
  <c r="F161" i="16"/>
  <c r="G161" i="16" s="1"/>
  <c r="A312" i="16"/>
  <c r="D311" i="16"/>
  <c r="B311" i="16"/>
  <c r="D312" i="16" l="1"/>
  <c r="A313" i="16"/>
  <c r="B312" i="16"/>
  <c r="H162" i="16"/>
  <c r="J162" i="16" s="1"/>
  <c r="E162" i="16"/>
  <c r="F162" i="16" l="1"/>
  <c r="G162" i="16" s="1"/>
  <c r="I162" i="16"/>
  <c r="C163" i="16" s="1"/>
  <c r="D313" i="16"/>
  <c r="B313" i="16"/>
  <c r="A314" i="16"/>
  <c r="D314" i="16" l="1"/>
  <c r="A315" i="16"/>
  <c r="B314" i="16"/>
  <c r="H163" i="16"/>
  <c r="J163" i="16" s="1"/>
  <c r="E163" i="16"/>
  <c r="I163" i="16" l="1"/>
  <c r="C164" i="16" s="1"/>
  <c r="F163" i="16"/>
  <c r="G163" i="16" s="1"/>
  <c r="A316" i="16"/>
  <c r="D315" i="16"/>
  <c r="B315" i="16"/>
  <c r="D316" i="16" l="1"/>
  <c r="A317" i="16"/>
  <c r="B316" i="16"/>
  <c r="H164" i="16"/>
  <c r="J164" i="16" s="1"/>
  <c r="E164" i="16"/>
  <c r="F164" i="16" l="1"/>
  <c r="G164" i="16" s="1"/>
  <c r="I164" i="16"/>
  <c r="C165" i="16" s="1"/>
  <c r="A318" i="16"/>
  <c r="B317" i="16"/>
  <c r="D317" i="16"/>
  <c r="E165" i="16" l="1"/>
  <c r="H165" i="16"/>
  <c r="J165" i="16" s="1"/>
  <c r="D318" i="16"/>
  <c r="A319" i="16"/>
  <c r="B318" i="16"/>
  <c r="I165" i="16" l="1"/>
  <c r="C166" i="16" s="1"/>
  <c r="F165" i="16"/>
  <c r="G165" i="16" s="1"/>
  <c r="D319" i="16"/>
  <c r="B319" i="16"/>
  <c r="A320" i="16"/>
  <c r="D320" i="16" l="1"/>
  <c r="A321" i="16"/>
  <c r="B320" i="16"/>
  <c r="H166" i="16"/>
  <c r="J166" i="16" s="1"/>
  <c r="E166" i="16"/>
  <c r="D321" i="16" l="1"/>
  <c r="B321" i="16"/>
  <c r="A322" i="16"/>
  <c r="F166" i="16"/>
  <c r="G166" i="16" s="1"/>
  <c r="I166" i="16"/>
  <c r="C167" i="16" s="1"/>
  <c r="D322" i="16" l="1"/>
  <c r="A323" i="16"/>
  <c r="B322" i="16"/>
  <c r="H167" i="16"/>
  <c r="J167" i="16" s="1"/>
  <c r="E167" i="16"/>
  <c r="I167" i="16" l="1"/>
  <c r="C168" i="16" s="1"/>
  <c r="F167" i="16"/>
  <c r="G167" i="16" s="1"/>
  <c r="A324" i="16"/>
  <c r="D323" i="16"/>
  <c r="B323" i="16"/>
  <c r="D324" i="16" l="1"/>
  <c r="A325" i="16"/>
  <c r="B324" i="16"/>
  <c r="H168" i="16"/>
  <c r="J168" i="16" s="1"/>
  <c r="E168" i="16"/>
  <c r="I168" i="16" l="1"/>
  <c r="C169" i="16" s="1"/>
  <c r="F168" i="16"/>
  <c r="G168" i="16" s="1"/>
  <c r="D325" i="16"/>
  <c r="B325" i="16"/>
  <c r="A326" i="16"/>
  <c r="E169" i="16" l="1"/>
  <c r="H169" i="16"/>
  <c r="J169" i="16" s="1"/>
  <c r="D326" i="16"/>
  <c r="B326" i="16"/>
  <c r="A327" i="16"/>
  <c r="I169" i="16" l="1"/>
  <c r="C170" i="16" s="1"/>
  <c r="F169" i="16"/>
  <c r="G169" i="16" s="1"/>
  <c r="A328" i="16"/>
  <c r="B327" i="16"/>
  <c r="D327" i="16"/>
  <c r="E170" i="16" l="1"/>
  <c r="H170" i="16"/>
  <c r="J170" i="16" s="1"/>
  <c r="D328" i="16"/>
  <c r="A329" i="16"/>
  <c r="B328" i="16"/>
  <c r="I170" i="16" l="1"/>
  <c r="C171" i="16" s="1"/>
  <c r="F170" i="16"/>
  <c r="G170" i="16" s="1"/>
  <c r="D329" i="16"/>
  <c r="B329" i="16"/>
  <c r="A330" i="16"/>
  <c r="D330" i="16" l="1"/>
  <c r="A331" i="16"/>
  <c r="B330" i="16"/>
  <c r="H171" i="16"/>
  <c r="J171" i="16" s="1"/>
  <c r="E171" i="16"/>
  <c r="I171" i="16" l="1"/>
  <c r="C172" i="16" s="1"/>
  <c r="F171" i="16"/>
  <c r="G171" i="16" s="1"/>
  <c r="A332" i="16"/>
  <c r="D331" i="16"/>
  <c r="B331" i="16"/>
  <c r="H172" i="16" l="1"/>
  <c r="J172" i="16" s="1"/>
  <c r="E172" i="16"/>
  <c r="D332" i="16"/>
  <c r="A333" i="16"/>
  <c r="B332" i="16"/>
  <c r="B333" i="16" l="1"/>
  <c r="A334" i="16"/>
  <c r="D333" i="16"/>
  <c r="F172" i="16"/>
  <c r="G172" i="16" s="1"/>
  <c r="I172" i="16"/>
  <c r="C173" i="16" s="1"/>
  <c r="D334" i="16" l="1"/>
  <c r="B334" i="16"/>
  <c r="A335" i="16"/>
  <c r="H173" i="16"/>
  <c r="J173" i="16" s="1"/>
  <c r="E173" i="16"/>
  <c r="I173" i="16" l="1"/>
  <c r="C174" i="16" s="1"/>
  <c r="F173" i="16"/>
  <c r="G173" i="16" s="1"/>
  <c r="A336" i="16"/>
  <c r="B335" i="16"/>
  <c r="D335" i="16"/>
  <c r="H174" i="16" l="1"/>
  <c r="J174" i="16" s="1"/>
  <c r="E174" i="16"/>
  <c r="D336" i="16"/>
  <c r="A337" i="16"/>
  <c r="B336" i="16"/>
  <c r="I174" i="16" l="1"/>
  <c r="C175" i="16" s="1"/>
  <c r="F174" i="16"/>
  <c r="G174" i="16" s="1"/>
  <c r="D337" i="16"/>
  <c r="A338" i="16"/>
  <c r="B337" i="16"/>
  <c r="D338" i="16" l="1"/>
  <c r="A339" i="16"/>
  <c r="B338" i="16"/>
  <c r="H175" i="16"/>
  <c r="J175" i="16" s="1"/>
  <c r="E175" i="16"/>
  <c r="A340" i="16" l="1"/>
  <c r="D339" i="16"/>
  <c r="B339" i="16"/>
  <c r="F175" i="16"/>
  <c r="G175" i="16" s="1"/>
  <c r="I175" i="16"/>
  <c r="C176" i="16" s="1"/>
  <c r="D340" i="16" l="1"/>
  <c r="B340" i="16"/>
  <c r="A341" i="16"/>
  <c r="H176" i="16"/>
  <c r="J176" i="16" s="1"/>
  <c r="E176" i="16"/>
  <c r="F176" i="16" l="1"/>
  <c r="G176" i="16" s="1"/>
  <c r="I176" i="16"/>
  <c r="C177" i="16" s="1"/>
  <c r="B341" i="16"/>
  <c r="A342" i="16"/>
  <c r="D341" i="16"/>
  <c r="D342" i="16" l="1"/>
  <c r="A343" i="16"/>
  <c r="B342" i="16"/>
  <c r="H177" i="16"/>
  <c r="J177" i="16" s="1"/>
  <c r="E177" i="16"/>
  <c r="A344" i="16" l="1"/>
  <c r="D343" i="16"/>
  <c r="B343" i="16"/>
  <c r="I177" i="16"/>
  <c r="C178" i="16" s="1"/>
  <c r="F177" i="16"/>
  <c r="G177" i="16" s="1"/>
  <c r="H178" i="16" l="1"/>
  <c r="J178" i="16" s="1"/>
  <c r="E178" i="16"/>
  <c r="D344" i="16"/>
  <c r="A345" i="16"/>
  <c r="B344" i="16"/>
  <c r="D345" i="16" l="1"/>
  <c r="B345" i="16"/>
  <c r="A346" i="16"/>
  <c r="I178" i="16"/>
  <c r="C179" i="16" s="1"/>
  <c r="F178" i="16"/>
  <c r="G178" i="16" s="1"/>
  <c r="E179" i="16" l="1"/>
  <c r="H179" i="16"/>
  <c r="J179" i="16" s="1"/>
  <c r="D346" i="16"/>
  <c r="A347" i="16"/>
  <c r="B346" i="16"/>
  <c r="F179" i="16" l="1"/>
  <c r="G179" i="16" s="1"/>
  <c r="I179" i="16"/>
  <c r="C180" i="16" s="1"/>
  <c r="A348" i="16"/>
  <c r="D347" i="16"/>
  <c r="B347" i="16"/>
  <c r="H180" i="16" l="1"/>
  <c r="J180" i="16" s="1"/>
  <c r="E180" i="16"/>
  <c r="D348" i="16"/>
  <c r="A349" i="16"/>
  <c r="B348" i="16"/>
  <c r="A350" i="16" l="1"/>
  <c r="B349" i="16"/>
  <c r="D349" i="16"/>
  <c r="F180" i="16"/>
  <c r="G180" i="16" s="1"/>
  <c r="I180" i="16"/>
  <c r="C181" i="16" s="1"/>
  <c r="H181" i="16" l="1"/>
  <c r="J181" i="16" s="1"/>
  <c r="E181" i="16"/>
  <c r="D350" i="16"/>
  <c r="A351" i="16"/>
  <c r="B350" i="16"/>
  <c r="D351" i="16" l="1"/>
  <c r="B351" i="16"/>
  <c r="A352" i="16"/>
  <c r="F181" i="16"/>
  <c r="G181" i="16" s="1"/>
  <c r="I181" i="16"/>
  <c r="C182" i="16" s="1"/>
  <c r="H182" i="16" l="1"/>
  <c r="J182" i="16" s="1"/>
  <c r="E182" i="16"/>
  <c r="D352" i="16"/>
  <c r="B352" i="16"/>
  <c r="A353" i="16"/>
  <c r="D353" i="16" l="1"/>
  <c r="B353" i="16"/>
  <c r="A354" i="16"/>
  <c r="I182" i="16"/>
  <c r="C183" i="16" s="1"/>
  <c r="F182" i="16"/>
  <c r="G182" i="16" s="1"/>
  <c r="H183" i="16" l="1"/>
  <c r="J183" i="16" s="1"/>
  <c r="E183" i="16"/>
  <c r="D354" i="16"/>
  <c r="A355" i="16"/>
  <c r="B354" i="16"/>
  <c r="F183" i="16" l="1"/>
  <c r="G183" i="16" s="1"/>
  <c r="I183" i="16"/>
  <c r="C184" i="16" s="1"/>
  <c r="A356" i="16"/>
  <c r="D355" i="16"/>
  <c r="B355" i="16"/>
  <c r="H184" i="16" l="1"/>
  <c r="J184" i="16" s="1"/>
  <c r="E184" i="16"/>
  <c r="D356" i="16"/>
  <c r="A357" i="16"/>
  <c r="B356" i="16"/>
  <c r="I184" i="16" l="1"/>
  <c r="C185" i="16" s="1"/>
  <c r="F184" i="16"/>
  <c r="G184" i="16" s="1"/>
  <c r="D357" i="16"/>
  <c r="B357" i="16"/>
  <c r="A358" i="16"/>
  <c r="D358" i="16" l="1"/>
  <c r="B358" i="16"/>
  <c r="A359" i="16"/>
  <c r="H185" i="16"/>
  <c r="J185" i="16" s="1"/>
  <c r="E185" i="16"/>
  <c r="I185" i="16" l="1"/>
  <c r="C186" i="16" s="1"/>
  <c r="F185" i="16"/>
  <c r="G185" i="16" s="1"/>
  <c r="B359" i="16"/>
  <c r="A360" i="16"/>
  <c r="D359" i="16"/>
  <c r="E186" i="16" l="1"/>
  <c r="H186" i="16"/>
  <c r="J186" i="16" s="1"/>
  <c r="D360" i="16"/>
  <c r="A361" i="16"/>
  <c r="B360" i="16"/>
  <c r="I186" i="16" l="1"/>
  <c r="C187" i="16" s="1"/>
  <c r="F186" i="16"/>
  <c r="G186" i="16" s="1"/>
  <c r="D361" i="16"/>
  <c r="B361" i="16"/>
  <c r="A362" i="16"/>
  <c r="D362" i="16" l="1"/>
  <c r="A363" i="16"/>
  <c r="B362" i="16"/>
  <c r="E187" i="16"/>
  <c r="H187" i="16"/>
  <c r="J187" i="16" s="1"/>
  <c r="A364" i="16" l="1"/>
  <c r="D363" i="16"/>
  <c r="B363" i="16"/>
  <c r="I187" i="16"/>
  <c r="C188" i="16" s="1"/>
  <c r="F187" i="16"/>
  <c r="G187" i="16" s="1"/>
  <c r="D364" i="16" l="1"/>
  <c r="B364" i="16"/>
  <c r="A365" i="16"/>
  <c r="H188" i="16"/>
  <c r="J188" i="16" s="1"/>
  <c r="E188" i="16"/>
  <c r="F188" i="16" l="1"/>
  <c r="G188" i="16" s="1"/>
  <c r="I188" i="16"/>
  <c r="C189" i="16" s="1"/>
  <c r="B365" i="16"/>
  <c r="A366" i="16"/>
  <c r="D365" i="16"/>
  <c r="H189" i="16" l="1"/>
  <c r="J189" i="16" s="1"/>
  <c r="E189" i="16"/>
  <c r="D366" i="16"/>
  <c r="B366" i="16"/>
  <c r="A367" i="16"/>
  <c r="F189" i="16" l="1"/>
  <c r="G189" i="16" s="1"/>
  <c r="I189" i="16"/>
  <c r="C190" i="16" s="1"/>
  <c r="A368" i="16"/>
  <c r="D367" i="16"/>
  <c r="B367" i="16"/>
  <c r="H190" i="16" l="1"/>
  <c r="J190" i="16" s="1"/>
  <c r="E190" i="16"/>
  <c r="D368" i="16"/>
  <c r="A369" i="16"/>
  <c r="B368" i="16"/>
  <c r="I190" i="16" l="1"/>
  <c r="C191" i="16" s="1"/>
  <c r="F190" i="16"/>
  <c r="G190" i="16" s="1"/>
  <c r="D369" i="16"/>
  <c r="A370" i="16"/>
  <c r="B369" i="16"/>
  <c r="D370" i="16" l="1"/>
  <c r="A371" i="16"/>
  <c r="B370" i="16"/>
  <c r="H191" i="16"/>
  <c r="J191" i="16" s="1"/>
  <c r="E191" i="16"/>
  <c r="I191" i="16" l="1"/>
  <c r="C192" i="16" s="1"/>
  <c r="F191" i="16"/>
  <c r="G191" i="16" s="1"/>
  <c r="A372" i="16"/>
  <c r="B371" i="16"/>
  <c r="D371" i="16"/>
  <c r="D372" i="16" l="1"/>
  <c r="A373" i="16"/>
  <c r="B372" i="16"/>
  <c r="H192" i="16"/>
  <c r="J192" i="16" s="1"/>
  <c r="E192" i="16"/>
  <c r="B373" i="16" l="1"/>
  <c r="A374" i="16"/>
  <c r="D373" i="16"/>
  <c r="I192" i="16"/>
  <c r="C193" i="16" s="1"/>
  <c r="F192" i="16"/>
  <c r="G192" i="16" s="1"/>
  <c r="D374" i="16" l="1"/>
  <c r="B374" i="16"/>
  <c r="A375" i="16"/>
  <c r="H193" i="16"/>
  <c r="J193" i="16" s="1"/>
  <c r="E193" i="16"/>
  <c r="F193" i="16" l="1"/>
  <c r="G193" i="16" s="1"/>
  <c r="I193" i="16"/>
  <c r="C194" i="16" s="1"/>
  <c r="B375" i="16"/>
  <c r="A376" i="16"/>
  <c r="D375" i="16"/>
  <c r="D376" i="16" l="1"/>
  <c r="A377" i="16"/>
  <c r="B376" i="16"/>
  <c r="H194" i="16"/>
  <c r="J194" i="16" s="1"/>
  <c r="E194" i="16"/>
  <c r="D377" i="16" l="1"/>
  <c r="B377" i="16"/>
  <c r="I194" i="16"/>
  <c r="C195" i="16" s="1"/>
  <c r="F194" i="16"/>
  <c r="G194" i="16" s="1"/>
  <c r="H195" i="16" l="1"/>
  <c r="J195" i="16" s="1"/>
  <c r="E195" i="16"/>
  <c r="F195" i="16" l="1"/>
  <c r="G195" i="16" s="1"/>
  <c r="I195" i="16"/>
  <c r="C196" i="16" s="1"/>
  <c r="H196" i="16" l="1"/>
  <c r="J196" i="16" s="1"/>
  <c r="E196" i="16"/>
  <c r="I196" i="16" l="1"/>
  <c r="C197" i="16" s="1"/>
  <c r="F196" i="16"/>
  <c r="G196" i="16" s="1"/>
  <c r="H197" i="16" l="1"/>
  <c r="J197" i="16" s="1"/>
  <c r="E197" i="16"/>
  <c r="F197" i="16" l="1"/>
  <c r="G197" i="16" s="1"/>
  <c r="I197" i="16"/>
  <c r="C198" i="16" s="1"/>
  <c r="E198" i="16" l="1"/>
  <c r="H198" i="16"/>
  <c r="J198" i="16" s="1"/>
  <c r="F198" i="16" l="1"/>
  <c r="G198" i="16" s="1"/>
  <c r="I198" i="16"/>
  <c r="C199" i="16" s="1"/>
  <c r="H199" i="16" l="1"/>
  <c r="J199" i="16" s="1"/>
  <c r="E199" i="16"/>
  <c r="I199" i="16" l="1"/>
  <c r="C200" i="16" s="1"/>
  <c r="F199" i="16"/>
  <c r="G199" i="16" s="1"/>
  <c r="H200" i="16" l="1"/>
  <c r="J200" i="16" s="1"/>
  <c r="E200" i="16"/>
  <c r="I200" i="16" l="1"/>
  <c r="C201" i="16" s="1"/>
  <c r="F200" i="16"/>
  <c r="G200" i="16" s="1"/>
  <c r="H201" i="16" l="1"/>
  <c r="J201" i="16" s="1"/>
  <c r="E201" i="16"/>
  <c r="F201" i="16" l="1"/>
  <c r="G201" i="16" s="1"/>
  <c r="I201" i="16"/>
  <c r="C202" i="16" s="1"/>
  <c r="E202" i="16" l="1"/>
  <c r="H202" i="16"/>
  <c r="J202" i="16" s="1"/>
  <c r="F202" i="16" l="1"/>
  <c r="G202" i="16" s="1"/>
  <c r="I202" i="16"/>
  <c r="C203" i="16" s="1"/>
  <c r="E203" i="16" l="1"/>
  <c r="H203" i="16"/>
  <c r="J203" i="16" s="1"/>
  <c r="I203" i="16" l="1"/>
  <c r="C204" i="16" s="1"/>
  <c r="F203" i="16"/>
  <c r="G203" i="16" s="1"/>
  <c r="E204" i="16" l="1"/>
  <c r="H204" i="16"/>
  <c r="J204" i="16" s="1"/>
  <c r="F204" i="16" l="1"/>
  <c r="G204" i="16" s="1"/>
  <c r="I204" i="16"/>
  <c r="C205" i="16" s="1"/>
  <c r="E205" i="16" l="1"/>
  <c r="H205" i="16"/>
  <c r="J205" i="16" s="1"/>
  <c r="F205" i="16" l="1"/>
  <c r="G205" i="16" s="1"/>
  <c r="I205" i="16"/>
  <c r="C206" i="16" s="1"/>
  <c r="H206" i="16" l="1"/>
  <c r="J206" i="16" s="1"/>
  <c r="E206" i="16"/>
  <c r="I206" i="16" l="1"/>
  <c r="C207" i="16" s="1"/>
  <c r="F206" i="16"/>
  <c r="G206" i="16" s="1"/>
  <c r="H207" i="16" l="1"/>
  <c r="J207" i="16" s="1"/>
  <c r="E207" i="16"/>
  <c r="F207" i="16" l="1"/>
  <c r="G207" i="16" s="1"/>
  <c r="I207" i="16"/>
  <c r="C208" i="16" s="1"/>
  <c r="H208" i="16" l="1"/>
  <c r="J208" i="16" s="1"/>
  <c r="E208" i="16"/>
  <c r="I208" i="16" l="1"/>
  <c r="C209" i="16" s="1"/>
  <c r="F208" i="16"/>
  <c r="G208" i="16" s="1"/>
  <c r="H209" i="16" l="1"/>
  <c r="J209" i="16" s="1"/>
  <c r="E209" i="16"/>
  <c r="F209" i="16" l="1"/>
  <c r="G209" i="16" s="1"/>
  <c r="I209" i="16"/>
  <c r="C210" i="16" s="1"/>
  <c r="E210" i="16" l="1"/>
  <c r="H210" i="16"/>
  <c r="J210" i="16" s="1"/>
  <c r="I210" i="16" l="1"/>
  <c r="C211" i="16" s="1"/>
  <c r="F210" i="16"/>
  <c r="G210" i="16" s="1"/>
  <c r="H211" i="16" l="1"/>
  <c r="J211" i="16" s="1"/>
  <c r="E211" i="16"/>
  <c r="F211" i="16" l="1"/>
  <c r="G211" i="16" s="1"/>
  <c r="I211" i="16"/>
  <c r="C212" i="16" s="1"/>
  <c r="H212" i="16" l="1"/>
  <c r="J212" i="16" s="1"/>
  <c r="E212" i="16"/>
  <c r="I212" i="16" l="1"/>
  <c r="C213" i="16" s="1"/>
  <c r="F212" i="16"/>
  <c r="G212" i="16" s="1"/>
  <c r="H213" i="16" l="1"/>
  <c r="J213" i="16" s="1"/>
  <c r="E213" i="16"/>
  <c r="I213" i="16" l="1"/>
  <c r="C214" i="16" s="1"/>
  <c r="F213" i="16"/>
  <c r="G213" i="16" s="1"/>
  <c r="H214" i="16" l="1"/>
  <c r="J214" i="16" s="1"/>
  <c r="E214" i="16"/>
  <c r="I214" i="16" l="1"/>
  <c r="C215" i="16" s="1"/>
  <c r="F214" i="16"/>
  <c r="G214" i="16" s="1"/>
  <c r="H215" i="16" l="1"/>
  <c r="J215" i="16" s="1"/>
  <c r="E215" i="16"/>
  <c r="F215" i="16" l="1"/>
  <c r="G215" i="16" s="1"/>
  <c r="I215" i="16"/>
  <c r="C216" i="16" s="1"/>
  <c r="E216" i="16" l="1"/>
  <c r="H216" i="16"/>
  <c r="J216" i="16" s="1"/>
  <c r="I216" i="16" l="1"/>
  <c r="C217" i="16" s="1"/>
  <c r="F216" i="16"/>
  <c r="G216" i="16" s="1"/>
  <c r="H217" i="16" l="1"/>
  <c r="J217" i="16" s="1"/>
  <c r="E217" i="16"/>
  <c r="I217" i="16" l="1"/>
  <c r="C218" i="16" s="1"/>
  <c r="F217" i="16"/>
  <c r="G217" i="16" s="1"/>
  <c r="H218" i="16" l="1"/>
  <c r="J218" i="16" s="1"/>
  <c r="E218" i="16"/>
  <c r="F218" i="16" l="1"/>
  <c r="G218" i="16" s="1"/>
  <c r="I218" i="16"/>
  <c r="C219" i="16" s="1"/>
  <c r="H219" i="16" l="1"/>
  <c r="J219" i="16" s="1"/>
  <c r="E219" i="16"/>
  <c r="F219" i="16" l="1"/>
  <c r="G219" i="16" s="1"/>
  <c r="I219" i="16"/>
  <c r="C220" i="16" s="1"/>
  <c r="H220" i="16" l="1"/>
  <c r="J220" i="16" s="1"/>
  <c r="E220" i="16"/>
  <c r="F220" i="16" l="1"/>
  <c r="G220" i="16" s="1"/>
  <c r="I220" i="16"/>
  <c r="C221" i="16" s="1"/>
  <c r="H221" i="16" l="1"/>
  <c r="J221" i="16" s="1"/>
  <c r="E221" i="16"/>
  <c r="F221" i="16" l="1"/>
  <c r="G221" i="16" s="1"/>
  <c r="I221" i="16"/>
  <c r="C222" i="16" s="1"/>
  <c r="H222" i="16" l="1"/>
  <c r="J222" i="16" s="1"/>
  <c r="E222" i="16"/>
  <c r="I222" i="16" l="1"/>
  <c r="C223" i="16" s="1"/>
  <c r="F222" i="16"/>
  <c r="G222" i="16" s="1"/>
  <c r="H223" i="16" l="1"/>
  <c r="J223" i="16" s="1"/>
  <c r="E223" i="16"/>
  <c r="F223" i="16" l="1"/>
  <c r="G223" i="16" s="1"/>
  <c r="I223" i="16"/>
  <c r="C224" i="16" s="1"/>
  <c r="H224" i="16" l="1"/>
  <c r="J224" i="16" s="1"/>
  <c r="E224" i="16"/>
  <c r="F224" i="16" l="1"/>
  <c r="G224" i="16" s="1"/>
  <c r="I224" i="16"/>
  <c r="C225" i="16" s="1"/>
  <c r="H225" i="16" l="1"/>
  <c r="J225" i="16" s="1"/>
  <c r="E225" i="16"/>
  <c r="F225" i="16" l="1"/>
  <c r="G225" i="16" s="1"/>
  <c r="I225" i="16"/>
  <c r="C226" i="16" s="1"/>
  <c r="H226" i="16" l="1"/>
  <c r="J226" i="16" s="1"/>
  <c r="E226" i="16"/>
  <c r="I226" i="16" l="1"/>
  <c r="C227" i="16" s="1"/>
  <c r="F226" i="16"/>
  <c r="G226" i="16" s="1"/>
  <c r="H227" i="16" l="1"/>
  <c r="J227" i="16" s="1"/>
  <c r="E227" i="16"/>
  <c r="I227" i="16" l="1"/>
  <c r="C228" i="16" s="1"/>
  <c r="F227" i="16"/>
  <c r="G227" i="16" s="1"/>
  <c r="H228" i="16" l="1"/>
  <c r="J228" i="16" s="1"/>
  <c r="E228" i="16"/>
  <c r="I228" i="16" l="1"/>
  <c r="C229" i="16" s="1"/>
  <c r="F228" i="16"/>
  <c r="G228" i="16" s="1"/>
  <c r="H229" i="16" l="1"/>
  <c r="J229" i="16" s="1"/>
  <c r="E229" i="16"/>
  <c r="F229" i="16" l="1"/>
  <c r="G229" i="16" s="1"/>
  <c r="I229" i="16"/>
  <c r="C230" i="16" s="1"/>
  <c r="E230" i="16" l="1"/>
  <c r="H230" i="16"/>
  <c r="J230" i="16" s="1"/>
  <c r="I230" i="16" l="1"/>
  <c r="C231" i="16" s="1"/>
  <c r="F230" i="16"/>
  <c r="G230" i="16" s="1"/>
  <c r="H231" i="16" l="1"/>
  <c r="J231" i="16" s="1"/>
  <c r="E231" i="16"/>
  <c r="I231" i="16" l="1"/>
  <c r="C232" i="16" s="1"/>
  <c r="F231" i="16"/>
  <c r="G231" i="16" s="1"/>
  <c r="H232" i="16" l="1"/>
  <c r="J232" i="16" s="1"/>
  <c r="E232" i="16"/>
  <c r="I232" i="16" l="1"/>
  <c r="C233" i="16" s="1"/>
  <c r="F232" i="16"/>
  <c r="G232" i="16" s="1"/>
  <c r="H233" i="16" l="1"/>
  <c r="J233" i="16" s="1"/>
  <c r="E233" i="16"/>
  <c r="I233" i="16" l="1"/>
  <c r="C234" i="16" s="1"/>
  <c r="F233" i="16"/>
  <c r="G233" i="16" s="1"/>
  <c r="E234" i="16" l="1"/>
  <c r="H234" i="16"/>
  <c r="J234" i="16" s="1"/>
  <c r="F234" i="16" l="1"/>
  <c r="G234" i="16" s="1"/>
  <c r="I234" i="16"/>
  <c r="C235" i="16" s="1"/>
  <c r="H235" i="16" l="1"/>
  <c r="J235" i="16" s="1"/>
  <c r="E235" i="16"/>
  <c r="F235" i="16" l="1"/>
  <c r="G235" i="16" s="1"/>
  <c r="I235" i="16"/>
  <c r="C236" i="16" s="1"/>
  <c r="H236" i="16" l="1"/>
  <c r="J236" i="16" s="1"/>
  <c r="E236" i="16"/>
  <c r="F236" i="16" l="1"/>
  <c r="G236" i="16" s="1"/>
  <c r="I236" i="16"/>
  <c r="C237" i="16" s="1"/>
  <c r="H237" i="16" l="1"/>
  <c r="J237" i="16" s="1"/>
  <c r="E237" i="16"/>
  <c r="I237" i="16" l="1"/>
  <c r="C238" i="16" s="1"/>
  <c r="F237" i="16"/>
  <c r="G237" i="16" s="1"/>
  <c r="H238" i="16" l="1"/>
  <c r="J238" i="16" s="1"/>
  <c r="E238" i="16"/>
  <c r="I238" i="16" l="1"/>
  <c r="C239" i="16" s="1"/>
  <c r="F238" i="16"/>
  <c r="G238" i="16" s="1"/>
  <c r="E239" i="16" l="1"/>
  <c r="H239" i="16"/>
  <c r="J239" i="16" s="1"/>
  <c r="F239" i="16" l="1"/>
  <c r="G239" i="16" s="1"/>
  <c r="I239" i="16"/>
  <c r="C240" i="16" s="1"/>
  <c r="E240" i="16" l="1"/>
  <c r="H240" i="16"/>
  <c r="J240" i="16" s="1"/>
  <c r="I240" i="16" l="1"/>
  <c r="C241" i="16" s="1"/>
  <c r="F240" i="16"/>
  <c r="G240" i="16" s="1"/>
  <c r="H241" i="16" l="1"/>
  <c r="J241" i="16" s="1"/>
  <c r="E241" i="16"/>
  <c r="I241" i="16" l="1"/>
  <c r="C242" i="16" s="1"/>
  <c r="F241" i="16"/>
  <c r="G241" i="16" s="1"/>
  <c r="H242" i="16" l="1"/>
  <c r="J242" i="16" s="1"/>
  <c r="E242" i="16"/>
  <c r="I242" i="16" l="1"/>
  <c r="C243" i="16" s="1"/>
  <c r="F242" i="16"/>
  <c r="G242" i="16" s="1"/>
  <c r="E243" i="16" l="1"/>
  <c r="H243" i="16"/>
  <c r="J243" i="16" s="1"/>
  <c r="F243" i="16" l="1"/>
  <c r="G243" i="16" s="1"/>
  <c r="I243" i="16"/>
  <c r="C244" i="16" s="1"/>
  <c r="H244" i="16" l="1"/>
  <c r="J244" i="16" s="1"/>
  <c r="E244" i="16"/>
  <c r="I244" i="16" l="1"/>
  <c r="C245" i="16" s="1"/>
  <c r="F244" i="16"/>
  <c r="G244" i="16" s="1"/>
  <c r="H245" i="16" l="1"/>
  <c r="J245" i="16" s="1"/>
  <c r="E245" i="16"/>
  <c r="F245" i="16" l="1"/>
  <c r="G245" i="16" s="1"/>
  <c r="I245" i="16"/>
  <c r="C246" i="16" s="1"/>
  <c r="H246" i="16" l="1"/>
  <c r="J246" i="16" s="1"/>
  <c r="E246" i="16"/>
  <c r="F246" i="16" l="1"/>
  <c r="G246" i="16" s="1"/>
  <c r="I246" i="16"/>
  <c r="C247" i="16" s="1"/>
  <c r="H247" i="16" l="1"/>
  <c r="J247" i="16" s="1"/>
  <c r="E247" i="16"/>
  <c r="F247" i="16" l="1"/>
  <c r="G247" i="16" s="1"/>
  <c r="I247" i="16"/>
  <c r="C248" i="16" s="1"/>
  <c r="H248" i="16" l="1"/>
  <c r="J248" i="16" s="1"/>
  <c r="E248" i="16"/>
  <c r="I248" i="16" l="1"/>
  <c r="C249" i="16" s="1"/>
  <c r="F248" i="16"/>
  <c r="G248" i="16" s="1"/>
  <c r="H249" i="16" l="1"/>
  <c r="J249" i="16" s="1"/>
  <c r="E249" i="16"/>
  <c r="I249" i="16" l="1"/>
  <c r="C250" i="16" s="1"/>
  <c r="F249" i="16"/>
  <c r="G249" i="16" s="1"/>
  <c r="H250" i="16" l="1"/>
  <c r="J250" i="16" s="1"/>
  <c r="E250" i="16"/>
  <c r="I250" i="16" l="1"/>
  <c r="C251" i="16" s="1"/>
  <c r="F250" i="16"/>
  <c r="G250" i="16" s="1"/>
  <c r="H251" i="16" l="1"/>
  <c r="J251" i="16" s="1"/>
  <c r="E251" i="16"/>
  <c r="F251" i="16" l="1"/>
  <c r="G251" i="16" s="1"/>
  <c r="I251" i="16"/>
  <c r="C252" i="16" s="1"/>
  <c r="H252" i="16" l="1"/>
  <c r="J252" i="16" s="1"/>
  <c r="E252" i="16"/>
  <c r="I252" i="16" l="1"/>
  <c r="C253" i="16" s="1"/>
  <c r="F252" i="16"/>
  <c r="G252" i="16" s="1"/>
  <c r="H253" i="16" l="1"/>
  <c r="J253" i="16" s="1"/>
  <c r="E253" i="16"/>
  <c r="I253" i="16" l="1"/>
  <c r="C254" i="16" s="1"/>
  <c r="F253" i="16"/>
  <c r="G253" i="16" s="1"/>
  <c r="H254" i="16" l="1"/>
  <c r="J254" i="16" s="1"/>
  <c r="E254" i="16"/>
  <c r="I254" i="16" l="1"/>
  <c r="C255" i="16" s="1"/>
  <c r="F254" i="16"/>
  <c r="G254" i="16" s="1"/>
  <c r="H255" i="16" l="1"/>
  <c r="J255" i="16" s="1"/>
  <c r="E255" i="16"/>
  <c r="I255" i="16" l="1"/>
  <c r="C256" i="16" s="1"/>
  <c r="F255" i="16"/>
  <c r="G255" i="16" s="1"/>
  <c r="H256" i="16" l="1"/>
  <c r="J256" i="16" s="1"/>
  <c r="E256" i="16"/>
  <c r="I256" i="16" l="1"/>
  <c r="C257" i="16" s="1"/>
  <c r="F256" i="16"/>
  <c r="G256" i="16" s="1"/>
  <c r="H257" i="16" l="1"/>
  <c r="J257" i="16" s="1"/>
  <c r="E257" i="16"/>
  <c r="F257" i="16" l="1"/>
  <c r="G257" i="16" s="1"/>
  <c r="I257" i="16"/>
  <c r="C258" i="16" s="1"/>
  <c r="E258" i="16" l="1"/>
  <c r="H258" i="16"/>
  <c r="J258" i="16" s="1"/>
  <c r="F258" i="16" l="1"/>
  <c r="G258" i="16" s="1"/>
  <c r="I258" i="16"/>
  <c r="C259" i="16" s="1"/>
  <c r="H259" i="16" l="1"/>
  <c r="J259" i="16" s="1"/>
  <c r="E259" i="16"/>
  <c r="I259" i="16" l="1"/>
  <c r="C260" i="16" s="1"/>
  <c r="F259" i="16"/>
  <c r="G259" i="16" s="1"/>
  <c r="H260" i="16" l="1"/>
  <c r="J260" i="16" s="1"/>
  <c r="E260" i="16"/>
  <c r="I260" i="16" l="1"/>
  <c r="C261" i="16" s="1"/>
  <c r="F260" i="16"/>
  <c r="G260" i="16" s="1"/>
  <c r="H261" i="16" l="1"/>
  <c r="J261" i="16" s="1"/>
  <c r="E261" i="16"/>
  <c r="I261" i="16" l="1"/>
  <c r="C262" i="16" s="1"/>
  <c r="F261" i="16"/>
  <c r="G261" i="16" s="1"/>
  <c r="H262" i="16" l="1"/>
  <c r="J262" i="16" s="1"/>
  <c r="E262" i="16"/>
  <c r="F262" i="16" l="1"/>
  <c r="G262" i="16" s="1"/>
  <c r="I262" i="16"/>
  <c r="C263" i="16" s="1"/>
  <c r="H263" i="16" l="1"/>
  <c r="J263" i="16" s="1"/>
  <c r="E263" i="16"/>
  <c r="F263" i="16" l="1"/>
  <c r="G263" i="16" s="1"/>
  <c r="I263" i="16"/>
  <c r="C264" i="16" s="1"/>
  <c r="E264" i="16" l="1"/>
  <c r="H264" i="16"/>
  <c r="J264" i="16" s="1"/>
  <c r="F264" i="16" l="1"/>
  <c r="G264" i="16" s="1"/>
  <c r="I264" i="16"/>
  <c r="C265" i="16" s="1"/>
  <c r="H265" i="16" l="1"/>
  <c r="J265" i="16" s="1"/>
  <c r="E265" i="16"/>
  <c r="I265" i="16" l="1"/>
  <c r="C266" i="16" s="1"/>
  <c r="F265" i="16"/>
  <c r="G265" i="16" s="1"/>
  <c r="H266" i="16" l="1"/>
  <c r="J266" i="16" s="1"/>
  <c r="E266" i="16"/>
  <c r="I266" i="16" l="1"/>
  <c r="C267" i="16" s="1"/>
  <c r="F266" i="16"/>
  <c r="G266" i="16" s="1"/>
  <c r="H267" i="16" l="1"/>
  <c r="J267" i="16" s="1"/>
  <c r="E267" i="16"/>
  <c r="F267" i="16" l="1"/>
  <c r="G267" i="16" s="1"/>
  <c r="I267" i="16"/>
  <c r="C268" i="16" s="1"/>
  <c r="H268" i="16" l="1"/>
  <c r="J268" i="16" s="1"/>
  <c r="E268" i="16"/>
  <c r="I268" i="16" l="1"/>
  <c r="C269" i="16" s="1"/>
  <c r="F268" i="16"/>
  <c r="G268" i="16" s="1"/>
  <c r="H269" i="16" l="1"/>
  <c r="J269" i="16" s="1"/>
  <c r="E269" i="16"/>
  <c r="F269" i="16" l="1"/>
  <c r="G269" i="16" s="1"/>
  <c r="I269" i="16"/>
  <c r="C270" i="16" s="1"/>
  <c r="H270" i="16" l="1"/>
  <c r="J270" i="16" s="1"/>
  <c r="E270" i="16"/>
  <c r="I270" i="16" l="1"/>
  <c r="C271" i="16" s="1"/>
  <c r="F270" i="16"/>
  <c r="G270" i="16" s="1"/>
  <c r="H271" i="16" l="1"/>
  <c r="J271" i="16" s="1"/>
  <c r="E271" i="16"/>
  <c r="F271" i="16" l="1"/>
  <c r="G271" i="16" s="1"/>
  <c r="I271" i="16"/>
  <c r="C272" i="16" s="1"/>
  <c r="H272" i="16" l="1"/>
  <c r="J272" i="16" s="1"/>
  <c r="E272" i="16"/>
  <c r="F272" i="16" l="1"/>
  <c r="G272" i="16" s="1"/>
  <c r="I272" i="16"/>
  <c r="C273" i="16" s="1"/>
  <c r="H273" i="16" l="1"/>
  <c r="J273" i="16" s="1"/>
  <c r="E273" i="16"/>
  <c r="F273" i="16" l="1"/>
  <c r="G273" i="16" s="1"/>
  <c r="I273" i="16"/>
  <c r="C274" i="16" s="1"/>
  <c r="H274" i="16" l="1"/>
  <c r="J274" i="16" s="1"/>
  <c r="E274" i="16"/>
  <c r="F274" i="16" l="1"/>
  <c r="G274" i="16" s="1"/>
  <c r="I274" i="16"/>
  <c r="C275" i="16" s="1"/>
  <c r="H275" i="16" l="1"/>
  <c r="J275" i="16" s="1"/>
  <c r="E275" i="16"/>
  <c r="F275" i="16" l="1"/>
  <c r="G275" i="16" s="1"/>
  <c r="I275" i="16"/>
  <c r="C276" i="16" s="1"/>
  <c r="E276" i="16" l="1"/>
  <c r="H276" i="16"/>
  <c r="J276" i="16" s="1"/>
  <c r="F276" i="16" l="1"/>
  <c r="G276" i="16" s="1"/>
  <c r="I276" i="16"/>
  <c r="C277" i="16" s="1"/>
  <c r="H277" i="16" l="1"/>
  <c r="J277" i="16" s="1"/>
  <c r="E277" i="16"/>
  <c r="F277" i="16" l="1"/>
  <c r="G277" i="16" s="1"/>
  <c r="I277" i="16"/>
  <c r="C278" i="16" s="1"/>
  <c r="H278" i="16" l="1"/>
  <c r="J278" i="16" s="1"/>
  <c r="E278" i="16"/>
  <c r="I278" i="16" l="1"/>
  <c r="C279" i="16" s="1"/>
  <c r="F278" i="16"/>
  <c r="G278" i="16" s="1"/>
  <c r="H279" i="16" l="1"/>
  <c r="J279" i="16" s="1"/>
  <c r="E279" i="16"/>
  <c r="F279" i="16" l="1"/>
  <c r="G279" i="16" s="1"/>
  <c r="I279" i="16"/>
  <c r="C280" i="16" s="1"/>
  <c r="E280" i="16" l="1"/>
  <c r="H280" i="16"/>
  <c r="J280" i="16" s="1"/>
  <c r="F280" i="16" l="1"/>
  <c r="G280" i="16" s="1"/>
  <c r="I280" i="16"/>
  <c r="C281" i="16" s="1"/>
  <c r="H281" i="16" l="1"/>
  <c r="J281" i="16" s="1"/>
  <c r="E281" i="16"/>
  <c r="F281" i="16" l="1"/>
  <c r="G281" i="16" s="1"/>
  <c r="I281" i="16"/>
  <c r="C282" i="16" s="1"/>
  <c r="H282" i="16" l="1"/>
  <c r="J282" i="16" s="1"/>
  <c r="E282" i="16"/>
  <c r="F282" i="16" l="1"/>
  <c r="G282" i="16" s="1"/>
  <c r="I282" i="16"/>
  <c r="C283" i="16" s="1"/>
  <c r="E283" i="16" l="1"/>
  <c r="H283" i="16"/>
  <c r="J283" i="16" s="1"/>
  <c r="I283" i="16" l="1"/>
  <c r="C284" i="16" s="1"/>
  <c r="F283" i="16"/>
  <c r="G283" i="16" s="1"/>
  <c r="H284" i="16" l="1"/>
  <c r="J284" i="16" s="1"/>
  <c r="E284" i="16"/>
  <c r="F284" i="16" l="1"/>
  <c r="G284" i="16" s="1"/>
  <c r="I284" i="16"/>
  <c r="C285" i="16" s="1"/>
  <c r="E285" i="16" l="1"/>
  <c r="H285" i="16"/>
  <c r="J285" i="16" s="1"/>
  <c r="F285" i="16" l="1"/>
  <c r="G285" i="16" s="1"/>
  <c r="I285" i="16"/>
  <c r="C286" i="16" s="1"/>
  <c r="H286" i="16" l="1"/>
  <c r="J286" i="16" s="1"/>
  <c r="E286" i="16"/>
  <c r="F286" i="16" l="1"/>
  <c r="G286" i="16" s="1"/>
  <c r="I286" i="16"/>
  <c r="C287" i="16" s="1"/>
  <c r="H287" i="16" l="1"/>
  <c r="J287" i="16" s="1"/>
  <c r="E287" i="16"/>
  <c r="F287" i="16" l="1"/>
  <c r="G287" i="16" s="1"/>
  <c r="I287" i="16"/>
  <c r="C288" i="16" s="1"/>
  <c r="E288" i="16" l="1"/>
  <c r="H288" i="16"/>
  <c r="J288" i="16" s="1"/>
  <c r="I288" i="16" l="1"/>
  <c r="C289" i="16" s="1"/>
  <c r="F288" i="16"/>
  <c r="G288" i="16" s="1"/>
  <c r="E289" i="16" l="1"/>
  <c r="H289" i="16"/>
  <c r="J289" i="16" s="1"/>
  <c r="F289" i="16" l="1"/>
  <c r="G289" i="16" s="1"/>
  <c r="I289" i="16"/>
  <c r="C290" i="16" s="1"/>
  <c r="H290" i="16" l="1"/>
  <c r="J290" i="16" s="1"/>
  <c r="E290" i="16"/>
  <c r="F290" i="16" l="1"/>
  <c r="G290" i="16" s="1"/>
  <c r="I290" i="16"/>
  <c r="C291" i="16" s="1"/>
  <c r="H291" i="16" l="1"/>
  <c r="J291" i="16" s="1"/>
  <c r="E291" i="16"/>
  <c r="I291" i="16" l="1"/>
  <c r="C292" i="16" s="1"/>
  <c r="F291" i="16"/>
  <c r="G291" i="16" s="1"/>
  <c r="H292" i="16" l="1"/>
  <c r="J292" i="16" s="1"/>
  <c r="E292" i="16"/>
  <c r="F292" i="16" l="1"/>
  <c r="G292" i="16" s="1"/>
  <c r="I292" i="16"/>
  <c r="C293" i="16" s="1"/>
  <c r="H293" i="16" l="1"/>
  <c r="J293" i="16" s="1"/>
  <c r="E293" i="16"/>
  <c r="F293" i="16" l="1"/>
  <c r="G293" i="16" s="1"/>
  <c r="I293" i="16"/>
  <c r="C294" i="16" s="1"/>
  <c r="H294" i="16" l="1"/>
  <c r="J294" i="16" s="1"/>
  <c r="E294" i="16"/>
  <c r="F294" i="16" l="1"/>
  <c r="G294" i="16" s="1"/>
  <c r="I294" i="16"/>
  <c r="C295" i="16" s="1"/>
  <c r="H295" i="16" l="1"/>
  <c r="J295" i="16" s="1"/>
  <c r="E295" i="16"/>
  <c r="I295" i="16" l="1"/>
  <c r="C296" i="16" s="1"/>
  <c r="F295" i="16"/>
  <c r="G295" i="16" s="1"/>
  <c r="H296" i="16" l="1"/>
  <c r="J296" i="16" s="1"/>
  <c r="E296" i="16"/>
  <c r="I296" i="16" l="1"/>
  <c r="C297" i="16" s="1"/>
  <c r="F296" i="16"/>
  <c r="G296" i="16" s="1"/>
  <c r="H297" i="16" l="1"/>
  <c r="J297" i="16" s="1"/>
  <c r="E297" i="16"/>
  <c r="F297" i="16" l="1"/>
  <c r="G297" i="16" s="1"/>
  <c r="I297" i="16"/>
  <c r="C298" i="16" s="1"/>
  <c r="E298" i="16" l="1"/>
  <c r="H298" i="16"/>
  <c r="J298" i="16" s="1"/>
  <c r="F298" i="16" l="1"/>
  <c r="G298" i="16" s="1"/>
  <c r="I298" i="16"/>
  <c r="C299" i="16" s="1"/>
  <c r="H299" i="16" l="1"/>
  <c r="J299" i="16" s="1"/>
  <c r="E299" i="16"/>
  <c r="F299" i="16" l="1"/>
  <c r="G299" i="16" s="1"/>
  <c r="I299" i="16"/>
  <c r="C300" i="16" s="1"/>
  <c r="H300" i="16" l="1"/>
  <c r="J300" i="16" s="1"/>
  <c r="E300" i="16"/>
  <c r="F300" i="16" l="1"/>
  <c r="G300" i="16" s="1"/>
  <c r="I300" i="16"/>
  <c r="C301" i="16" s="1"/>
  <c r="H301" i="16" l="1"/>
  <c r="J301" i="16" s="1"/>
  <c r="E301" i="16"/>
  <c r="I301" i="16" l="1"/>
  <c r="C302" i="16" s="1"/>
  <c r="F301" i="16"/>
  <c r="G301" i="16" s="1"/>
  <c r="E302" i="16" l="1"/>
  <c r="H302" i="16"/>
  <c r="J302" i="16" s="1"/>
  <c r="I302" i="16" l="1"/>
  <c r="C303" i="16" s="1"/>
  <c r="F302" i="16"/>
  <c r="G302" i="16" s="1"/>
  <c r="H303" i="16" l="1"/>
  <c r="J303" i="16" s="1"/>
  <c r="E303" i="16"/>
  <c r="I303" i="16" l="1"/>
  <c r="C304" i="16" s="1"/>
  <c r="F303" i="16"/>
  <c r="G303" i="16" s="1"/>
  <c r="H304" i="16" l="1"/>
  <c r="J304" i="16" s="1"/>
  <c r="E304" i="16"/>
  <c r="F304" i="16" l="1"/>
  <c r="G304" i="16" s="1"/>
  <c r="I304" i="16"/>
  <c r="C305" i="16" s="1"/>
  <c r="H305" i="16" l="1"/>
  <c r="J305" i="16" s="1"/>
  <c r="E305" i="16"/>
  <c r="F305" i="16" l="1"/>
  <c r="G305" i="16" s="1"/>
  <c r="I305" i="16"/>
  <c r="C306" i="16" s="1"/>
  <c r="H306" i="16" l="1"/>
  <c r="J306" i="16" s="1"/>
  <c r="E306" i="16"/>
  <c r="I306" i="16" l="1"/>
  <c r="C307" i="16" s="1"/>
  <c r="F306" i="16"/>
  <c r="G306" i="16" s="1"/>
  <c r="H307" i="16" l="1"/>
  <c r="J307" i="16" s="1"/>
  <c r="E307" i="16"/>
  <c r="I307" i="16" l="1"/>
  <c r="C308" i="16" s="1"/>
  <c r="F307" i="16"/>
  <c r="G307" i="16" s="1"/>
  <c r="H308" i="16" l="1"/>
  <c r="J308" i="16" s="1"/>
  <c r="E308" i="16"/>
  <c r="F308" i="16" l="1"/>
  <c r="G308" i="16" s="1"/>
  <c r="I308" i="16"/>
  <c r="C309" i="16" s="1"/>
  <c r="H309" i="16" l="1"/>
  <c r="J309" i="16" s="1"/>
  <c r="E309" i="16"/>
  <c r="F309" i="16" l="1"/>
  <c r="G309" i="16" s="1"/>
  <c r="I309" i="16"/>
  <c r="C310" i="16" s="1"/>
  <c r="H310" i="16" l="1"/>
  <c r="J310" i="16" s="1"/>
  <c r="E310" i="16"/>
  <c r="F310" i="16" l="1"/>
  <c r="G310" i="16" s="1"/>
  <c r="I310" i="16"/>
  <c r="C311" i="16" s="1"/>
  <c r="H311" i="16" l="1"/>
  <c r="J311" i="16" s="1"/>
  <c r="E311" i="16"/>
  <c r="I311" i="16" l="1"/>
  <c r="C312" i="16" s="1"/>
  <c r="F311" i="16"/>
  <c r="G311" i="16" s="1"/>
  <c r="H312" i="16" l="1"/>
  <c r="J312" i="16" s="1"/>
  <c r="E312" i="16"/>
  <c r="F312" i="16" l="1"/>
  <c r="G312" i="16" s="1"/>
  <c r="I312" i="16"/>
  <c r="C313" i="16" s="1"/>
  <c r="H313" i="16" l="1"/>
  <c r="J313" i="16" s="1"/>
  <c r="E313" i="16"/>
  <c r="F313" i="16" l="1"/>
  <c r="G313" i="16" s="1"/>
  <c r="I313" i="16"/>
  <c r="C314" i="16" s="1"/>
  <c r="E314" i="16" l="1"/>
  <c r="H314" i="16"/>
  <c r="J314" i="16" s="1"/>
  <c r="I314" i="16" l="1"/>
  <c r="C315" i="16" s="1"/>
  <c r="F314" i="16"/>
  <c r="G314" i="16" s="1"/>
  <c r="E315" i="16" l="1"/>
  <c r="H315" i="16"/>
  <c r="J315" i="16" s="1"/>
  <c r="F315" i="16" l="1"/>
  <c r="G315" i="16" s="1"/>
  <c r="I315" i="16"/>
  <c r="C316" i="16" s="1"/>
  <c r="E316" i="16" l="1"/>
  <c r="H316" i="16"/>
  <c r="J316" i="16" s="1"/>
  <c r="F316" i="16" l="1"/>
  <c r="G316" i="16" s="1"/>
  <c r="I316" i="16"/>
  <c r="C317" i="16" s="1"/>
  <c r="H317" i="16" l="1"/>
  <c r="J317" i="16" s="1"/>
  <c r="E317" i="16"/>
  <c r="I317" i="16" l="1"/>
  <c r="C318" i="16" s="1"/>
  <c r="F317" i="16"/>
  <c r="G317" i="16" s="1"/>
  <c r="H318" i="16" l="1"/>
  <c r="J318" i="16" s="1"/>
  <c r="E318" i="16"/>
  <c r="F318" i="16" l="1"/>
  <c r="G318" i="16" s="1"/>
  <c r="I318" i="16"/>
  <c r="C319" i="16" s="1"/>
  <c r="H319" i="16" l="1"/>
  <c r="J319" i="16" s="1"/>
  <c r="E319" i="16"/>
  <c r="F319" i="16" l="1"/>
  <c r="G319" i="16" s="1"/>
  <c r="I319" i="16"/>
  <c r="C320" i="16" s="1"/>
  <c r="E320" i="16" l="1"/>
  <c r="H320" i="16"/>
  <c r="J320" i="16" s="1"/>
  <c r="F320" i="16" l="1"/>
  <c r="G320" i="16" s="1"/>
  <c r="I320" i="16"/>
  <c r="C321" i="16" s="1"/>
  <c r="H321" i="16" l="1"/>
  <c r="J321" i="16" s="1"/>
  <c r="E321" i="16"/>
  <c r="F321" i="16" l="1"/>
  <c r="G321" i="16" s="1"/>
  <c r="I321" i="16"/>
  <c r="C322" i="16" s="1"/>
  <c r="H322" i="16" l="1"/>
  <c r="J322" i="16" s="1"/>
  <c r="E322" i="16"/>
  <c r="F322" i="16" l="1"/>
  <c r="G322" i="16" s="1"/>
  <c r="I322" i="16"/>
  <c r="C323" i="16" s="1"/>
  <c r="H323" i="16" l="1"/>
  <c r="J323" i="16" s="1"/>
  <c r="E323" i="16"/>
  <c r="F323" i="16" l="1"/>
  <c r="G323" i="16" s="1"/>
  <c r="I323" i="16"/>
  <c r="C324" i="16" s="1"/>
  <c r="H324" i="16" l="1"/>
  <c r="J324" i="16" s="1"/>
  <c r="E324" i="16"/>
  <c r="I324" i="16" l="1"/>
  <c r="C325" i="16" s="1"/>
  <c r="F324" i="16"/>
  <c r="G324" i="16" s="1"/>
  <c r="H325" i="16" l="1"/>
  <c r="J325" i="16" s="1"/>
  <c r="E325" i="16"/>
  <c r="F325" i="16" l="1"/>
  <c r="G325" i="16" s="1"/>
  <c r="I325" i="16"/>
  <c r="C326" i="16" s="1"/>
  <c r="H326" i="16" l="1"/>
  <c r="J326" i="16" s="1"/>
  <c r="E326" i="16"/>
  <c r="F326" i="16" l="1"/>
  <c r="G326" i="16" s="1"/>
  <c r="I326" i="16"/>
  <c r="C327" i="16" s="1"/>
  <c r="E327" i="16" l="1"/>
  <c r="H327" i="16"/>
  <c r="J327" i="16" s="1"/>
  <c r="I327" i="16" l="1"/>
  <c r="C328" i="16" s="1"/>
  <c r="F327" i="16"/>
  <c r="G327" i="16" s="1"/>
  <c r="H328" i="16" l="1"/>
  <c r="J328" i="16" s="1"/>
  <c r="E328" i="16"/>
  <c r="F328" i="16" l="1"/>
  <c r="G328" i="16" s="1"/>
  <c r="I328" i="16"/>
  <c r="C329" i="16" s="1"/>
  <c r="H329" i="16" l="1"/>
  <c r="J329" i="16" s="1"/>
  <c r="E329" i="16"/>
  <c r="F329" i="16" l="1"/>
  <c r="G329" i="16" s="1"/>
  <c r="I329" i="16"/>
  <c r="C330" i="16" s="1"/>
  <c r="H330" i="16" l="1"/>
  <c r="J330" i="16" s="1"/>
  <c r="E330" i="16"/>
  <c r="F330" i="16" l="1"/>
  <c r="G330" i="16" s="1"/>
  <c r="I330" i="16"/>
  <c r="C331" i="16" s="1"/>
  <c r="H331" i="16" l="1"/>
  <c r="J331" i="16" s="1"/>
  <c r="E331" i="16"/>
  <c r="F331" i="16" l="1"/>
  <c r="G331" i="16" s="1"/>
  <c r="I331" i="16"/>
  <c r="C332" i="16" s="1"/>
  <c r="H332" i="16" l="1"/>
  <c r="J332" i="16" s="1"/>
  <c r="E332" i="16"/>
  <c r="F332" i="16" l="1"/>
  <c r="G332" i="16" s="1"/>
  <c r="I332" i="16"/>
  <c r="C333" i="16" s="1"/>
  <c r="H333" i="16" l="1"/>
  <c r="J333" i="16" s="1"/>
  <c r="E333" i="16"/>
  <c r="I333" i="16" l="1"/>
  <c r="C334" i="16" s="1"/>
  <c r="F333" i="16"/>
  <c r="G333" i="16" s="1"/>
  <c r="H334" i="16" l="1"/>
  <c r="J334" i="16" s="1"/>
  <c r="E334" i="16"/>
  <c r="I334" i="16" l="1"/>
  <c r="C335" i="16" s="1"/>
  <c r="F334" i="16"/>
  <c r="G334" i="16" s="1"/>
  <c r="H335" i="16" l="1"/>
  <c r="J335" i="16" s="1"/>
  <c r="E335" i="16"/>
  <c r="I335" i="16" l="1"/>
  <c r="C336" i="16" s="1"/>
  <c r="F335" i="16"/>
  <c r="G335" i="16" s="1"/>
  <c r="H336" i="16" l="1"/>
  <c r="J336" i="16" s="1"/>
  <c r="E336" i="16"/>
  <c r="F336" i="16" l="1"/>
  <c r="G336" i="16" s="1"/>
  <c r="I336" i="16"/>
  <c r="C337" i="16" s="1"/>
  <c r="H337" i="16" l="1"/>
  <c r="J337" i="16" s="1"/>
  <c r="E337" i="16"/>
  <c r="F337" i="16" l="1"/>
  <c r="G337" i="16" s="1"/>
  <c r="I337" i="16"/>
  <c r="C338" i="16" s="1"/>
  <c r="E338" i="16" l="1"/>
  <c r="H338" i="16"/>
  <c r="J338" i="16" s="1"/>
  <c r="I338" i="16" l="1"/>
  <c r="C339" i="16" s="1"/>
  <c r="F338" i="16"/>
  <c r="G338" i="16" s="1"/>
  <c r="H339" i="16" l="1"/>
  <c r="J339" i="16" s="1"/>
  <c r="E339" i="16"/>
  <c r="F339" i="16" l="1"/>
  <c r="G339" i="16" s="1"/>
  <c r="I339" i="16"/>
  <c r="C340" i="16" s="1"/>
  <c r="E340" i="16" l="1"/>
  <c r="H340" i="16"/>
  <c r="J340" i="16" s="1"/>
  <c r="F340" i="16" l="1"/>
  <c r="G340" i="16" s="1"/>
  <c r="I340" i="16"/>
  <c r="C341" i="16" s="1"/>
  <c r="H341" i="16" l="1"/>
  <c r="J341" i="16" s="1"/>
  <c r="E341" i="16"/>
  <c r="I341" i="16" l="1"/>
  <c r="C342" i="16" s="1"/>
  <c r="F341" i="16"/>
  <c r="G341" i="16" s="1"/>
  <c r="H342" i="16" l="1"/>
  <c r="J342" i="16" s="1"/>
  <c r="E342" i="16"/>
  <c r="I342" i="16" l="1"/>
  <c r="C343" i="16" s="1"/>
  <c r="F342" i="16"/>
  <c r="G342" i="16" s="1"/>
  <c r="H343" i="16" l="1"/>
  <c r="J343" i="16" s="1"/>
  <c r="E343" i="16"/>
  <c r="F343" i="16" l="1"/>
  <c r="G343" i="16" s="1"/>
  <c r="I343" i="16"/>
  <c r="C344" i="16" s="1"/>
  <c r="E344" i="16" l="1"/>
  <c r="H344" i="16"/>
  <c r="J344" i="16" s="1"/>
  <c r="F344" i="16" l="1"/>
  <c r="G344" i="16" s="1"/>
  <c r="I344" i="16"/>
  <c r="C345" i="16" s="1"/>
  <c r="H345" i="16" l="1"/>
  <c r="J345" i="16" s="1"/>
  <c r="E345" i="16"/>
  <c r="I345" i="16" l="1"/>
  <c r="C346" i="16" s="1"/>
  <c r="F345" i="16"/>
  <c r="G345" i="16" s="1"/>
  <c r="H346" i="16" l="1"/>
  <c r="J346" i="16" s="1"/>
  <c r="E346" i="16"/>
  <c r="F346" i="16" l="1"/>
  <c r="G346" i="16" s="1"/>
  <c r="I346" i="16"/>
  <c r="C347" i="16" s="1"/>
  <c r="H347" i="16" l="1"/>
  <c r="J347" i="16" s="1"/>
  <c r="E347" i="16"/>
  <c r="F347" i="16" l="1"/>
  <c r="G347" i="16" s="1"/>
  <c r="I347" i="16"/>
  <c r="C348" i="16" s="1"/>
  <c r="H348" i="16" l="1"/>
  <c r="J348" i="16" s="1"/>
  <c r="E348" i="16"/>
  <c r="I348" i="16" l="1"/>
  <c r="C349" i="16" s="1"/>
  <c r="F348" i="16"/>
  <c r="G348" i="16" s="1"/>
  <c r="H349" i="16" l="1"/>
  <c r="J349" i="16" s="1"/>
  <c r="E349" i="16"/>
  <c r="F349" i="16" l="1"/>
  <c r="G349" i="16" s="1"/>
  <c r="I349" i="16"/>
  <c r="C350" i="16" s="1"/>
  <c r="H350" i="16" l="1"/>
  <c r="J350" i="16" s="1"/>
  <c r="E350" i="16"/>
  <c r="F350" i="16" l="1"/>
  <c r="G350" i="16" s="1"/>
  <c r="I350" i="16"/>
  <c r="C351" i="16" s="1"/>
  <c r="E351" i="16" l="1"/>
  <c r="H351" i="16"/>
  <c r="J351" i="16" s="1"/>
  <c r="F351" i="16" l="1"/>
  <c r="G351" i="16" s="1"/>
  <c r="I351" i="16"/>
  <c r="C352" i="16" s="1"/>
  <c r="H352" i="16" l="1"/>
  <c r="J352" i="16" s="1"/>
  <c r="E352" i="16"/>
  <c r="I352" i="16" l="1"/>
  <c r="C353" i="16" s="1"/>
  <c r="F352" i="16"/>
  <c r="G352" i="16" s="1"/>
  <c r="H353" i="16" l="1"/>
  <c r="J353" i="16" s="1"/>
  <c r="E353" i="16"/>
  <c r="F353" i="16" l="1"/>
  <c r="G353" i="16" s="1"/>
  <c r="I353" i="16"/>
  <c r="C354" i="16" s="1"/>
  <c r="H354" i="16" l="1"/>
  <c r="J354" i="16" s="1"/>
  <c r="E354" i="16"/>
  <c r="F354" i="16" l="1"/>
  <c r="G354" i="16" s="1"/>
  <c r="I354" i="16"/>
  <c r="C355" i="16" s="1"/>
  <c r="H355" i="16" l="1"/>
  <c r="J355" i="16" s="1"/>
  <c r="E355" i="16"/>
  <c r="F355" i="16" l="1"/>
  <c r="G355" i="16" s="1"/>
  <c r="I355" i="16"/>
  <c r="C356" i="16" s="1"/>
  <c r="H356" i="16" l="1"/>
  <c r="J356" i="16" s="1"/>
  <c r="E356" i="16"/>
  <c r="F356" i="16" l="1"/>
  <c r="G356" i="16" s="1"/>
  <c r="I356" i="16"/>
  <c r="C357" i="16" s="1"/>
  <c r="E357" i="16" l="1"/>
  <c r="H357" i="16"/>
  <c r="J357" i="16" s="1"/>
  <c r="I357" i="16" l="1"/>
  <c r="C358" i="16" s="1"/>
  <c r="F357" i="16"/>
  <c r="G357" i="16" s="1"/>
  <c r="H358" i="16" l="1"/>
  <c r="J358" i="16" s="1"/>
  <c r="E358" i="16"/>
  <c r="F358" i="16" l="1"/>
  <c r="G358" i="16" s="1"/>
  <c r="I358" i="16"/>
  <c r="C359" i="16" s="1"/>
  <c r="H359" i="16" l="1"/>
  <c r="J359" i="16" s="1"/>
  <c r="E359" i="16"/>
  <c r="I359" i="16" l="1"/>
  <c r="C360" i="16" s="1"/>
  <c r="F359" i="16"/>
  <c r="G359" i="16" s="1"/>
  <c r="E360" i="16" l="1"/>
  <c r="H360" i="16"/>
  <c r="J360" i="16" s="1"/>
  <c r="F360" i="16" l="1"/>
  <c r="G360" i="16" s="1"/>
  <c r="I360" i="16"/>
  <c r="C361" i="16" s="1"/>
  <c r="E361" i="16" l="1"/>
  <c r="H361" i="16"/>
  <c r="J361" i="16" s="1"/>
  <c r="F361" i="16" l="1"/>
  <c r="G361" i="16" s="1"/>
  <c r="I361" i="16"/>
  <c r="C362" i="16" s="1"/>
  <c r="E362" i="16" l="1"/>
  <c r="H362" i="16"/>
  <c r="J362" i="16" s="1"/>
  <c r="F362" i="16" l="1"/>
  <c r="G362" i="16" s="1"/>
  <c r="I362" i="16"/>
  <c r="C363" i="16" s="1"/>
  <c r="H363" i="16" l="1"/>
  <c r="J363" i="16" s="1"/>
  <c r="E363" i="16"/>
  <c r="F363" i="16" l="1"/>
  <c r="G363" i="16" s="1"/>
  <c r="I363" i="16"/>
  <c r="C364" i="16" s="1"/>
  <c r="E364" i="16" l="1"/>
  <c r="H364" i="16"/>
  <c r="J364" i="16" s="1"/>
  <c r="F364" i="16" l="1"/>
  <c r="G364" i="16" s="1"/>
  <c r="I364" i="16"/>
  <c r="C365" i="16" s="1"/>
  <c r="E365" i="16" l="1"/>
  <c r="H365" i="16"/>
  <c r="J365" i="16" s="1"/>
  <c r="F365" i="16" l="1"/>
  <c r="G365" i="16" s="1"/>
  <c r="I365" i="16"/>
  <c r="C366" i="16" s="1"/>
  <c r="H366" i="16" l="1"/>
  <c r="J366" i="16" s="1"/>
  <c r="E366" i="16"/>
  <c r="I366" i="16" l="1"/>
  <c r="C367" i="16" s="1"/>
  <c r="F366" i="16"/>
  <c r="G366" i="16" s="1"/>
  <c r="H367" i="16" l="1"/>
  <c r="J367" i="16" s="1"/>
  <c r="E367" i="16"/>
  <c r="F367" i="16" l="1"/>
  <c r="G367" i="16" s="1"/>
  <c r="I367" i="16"/>
  <c r="C368" i="16" s="1"/>
  <c r="E368" i="16" l="1"/>
  <c r="H368" i="16"/>
  <c r="J368" i="16" s="1"/>
  <c r="F368" i="16" l="1"/>
  <c r="G368" i="16" s="1"/>
  <c r="I368" i="16"/>
  <c r="C369" i="16" s="1"/>
  <c r="E369" i="16" l="1"/>
  <c r="H369" i="16"/>
  <c r="J369" i="16" s="1"/>
  <c r="F369" i="16" l="1"/>
  <c r="G369" i="16" s="1"/>
  <c r="I369" i="16"/>
  <c r="C370" i="16" s="1"/>
  <c r="H370" i="16" l="1"/>
  <c r="J370" i="16" s="1"/>
  <c r="E370" i="16"/>
  <c r="I370" i="16" l="1"/>
  <c r="C371" i="16" s="1"/>
  <c r="F370" i="16"/>
  <c r="G370" i="16" s="1"/>
  <c r="H371" i="16" l="1"/>
  <c r="J371" i="16" s="1"/>
  <c r="E371" i="16"/>
  <c r="I371" i="16" l="1"/>
  <c r="C372" i="16" s="1"/>
  <c r="F371" i="16"/>
  <c r="G371" i="16" s="1"/>
  <c r="H372" i="16" l="1"/>
  <c r="J372" i="16" s="1"/>
  <c r="E372" i="16"/>
  <c r="I372" i="16" l="1"/>
  <c r="C373" i="16" s="1"/>
  <c r="F372" i="16"/>
  <c r="G372" i="16" s="1"/>
  <c r="H373" i="16" l="1"/>
  <c r="J373" i="16" s="1"/>
  <c r="E373" i="16"/>
  <c r="F373" i="16" l="1"/>
  <c r="G373" i="16" s="1"/>
  <c r="I373" i="16"/>
  <c r="C374" i="16" s="1"/>
  <c r="E374" i="16" l="1"/>
  <c r="H374" i="16"/>
  <c r="J374" i="16" s="1"/>
  <c r="I374" i="16" l="1"/>
  <c r="C375" i="16" s="1"/>
  <c r="F374" i="16"/>
  <c r="G374" i="16" s="1"/>
  <c r="H375" i="16" l="1"/>
  <c r="J375" i="16" s="1"/>
  <c r="E375" i="16"/>
  <c r="F375" i="16" l="1"/>
  <c r="G375" i="16" s="1"/>
  <c r="I375" i="16"/>
  <c r="C376" i="16" s="1"/>
  <c r="E376" i="16" l="1"/>
  <c r="H376" i="16"/>
  <c r="J376" i="16" s="1"/>
  <c r="I376" i="16" l="1"/>
  <c r="C377" i="16" s="1"/>
  <c r="F376" i="16"/>
  <c r="G376" i="16" s="1"/>
  <c r="H8" i="16" l="1"/>
  <c r="H9" i="16"/>
  <c r="H377" i="16"/>
  <c r="J377" i="16" s="1"/>
  <c r="E377" i="16"/>
  <c r="F377" i="16" l="1"/>
  <c r="G377" i="16" s="1"/>
  <c r="I377" i="16"/>
  <c r="H7" i="16" s="1"/>
</calcChain>
</file>

<file path=xl/sharedStrings.xml><?xml version="1.0" encoding="utf-8"?>
<sst xmlns="http://schemas.openxmlformats.org/spreadsheetml/2006/main" count="628" uniqueCount="348">
  <si>
    <t>Construction</t>
  </si>
  <si>
    <t>Eligible Land</t>
  </si>
  <si>
    <t>Contingency</t>
  </si>
  <si>
    <t>Technical Services</t>
  </si>
  <si>
    <t>Other</t>
  </si>
  <si>
    <t>Loan</t>
  </si>
  <si>
    <t>Total</t>
  </si>
  <si>
    <t>Total Construction Cost</t>
  </si>
  <si>
    <t>PF</t>
  </si>
  <si>
    <t>Service Area Population, P</t>
  </si>
  <si>
    <t>Median Household Income, MHI</t>
  </si>
  <si>
    <t>State Median Household Income, SMHI</t>
  </si>
  <si>
    <t>PF% =</t>
  </si>
  <si>
    <t>Project Name:</t>
  </si>
  <si>
    <t>Project Number:</t>
  </si>
  <si>
    <t>Data Entry Field</t>
  </si>
  <si>
    <t>Calculated Field</t>
  </si>
  <si>
    <t>Effective PF% Rate</t>
  </si>
  <si>
    <t>Interest Rate</t>
  </si>
  <si>
    <t>Construction Cost Calculation</t>
  </si>
  <si>
    <t>Principal Forgiveness Calculation</t>
  </si>
  <si>
    <t>Priority Score and Principal Forgiveness Calculation</t>
  </si>
  <si>
    <t>Project Category</t>
  </si>
  <si>
    <t>Score</t>
  </si>
  <si>
    <t>Construction Cost</t>
  </si>
  <si>
    <t>TOTAL</t>
  </si>
  <si>
    <t>Weighted Score</t>
  </si>
  <si>
    <t>DATE:</t>
  </si>
  <si>
    <t>Acute Health Risk*</t>
  </si>
  <si>
    <t>Potential Acute Health Risk*</t>
  </si>
  <si>
    <t>Chronic Health Risk*</t>
  </si>
  <si>
    <t>Potential Chronic Health Risk*</t>
  </si>
  <si>
    <t>Compliance-1**</t>
  </si>
  <si>
    <t>Compliance-2***</t>
  </si>
  <si>
    <t>Total Estimated Construction Cost from RFI</t>
  </si>
  <si>
    <t>Total construction cost must match current RFI construction cost</t>
  </si>
  <si>
    <t xml:space="preserve">Total Priority Score = </t>
  </si>
  <si>
    <t xml:space="preserve">MHI Score = </t>
  </si>
  <si>
    <t xml:space="preserve">SMHI = </t>
  </si>
  <si>
    <t xml:space="preserve">MHI = </t>
  </si>
  <si>
    <t xml:space="preserve">P = </t>
  </si>
  <si>
    <t xml:space="preserve">Population Score = </t>
  </si>
  <si>
    <t xml:space="preserve">Affordability Score = </t>
  </si>
  <si>
    <t>PF% = (1760/9 - 160 x (MHI/SMHI) - 7/4500 x P)</t>
  </si>
  <si>
    <t xml:space="preserve">Construction, PF% = </t>
  </si>
  <si>
    <t xml:space="preserve">Design, PF% = </t>
  </si>
  <si>
    <t xml:space="preserve">Planning, PF% = </t>
  </si>
  <si>
    <t xml:space="preserve">Base Priority Score = </t>
  </si>
  <si>
    <t xml:space="preserve">Water Conservation Score = </t>
  </si>
  <si>
    <t>Calculated Principal Forgiveness</t>
  </si>
  <si>
    <t xml:space="preserve">Total = </t>
  </si>
  <si>
    <t>Interest Rate Calculation</t>
  </si>
  <si>
    <t>Interest rate as a percentage of the market rate</t>
  </si>
  <si>
    <t xml:space="preserve">SRF's quarterly market rate = </t>
  </si>
  <si>
    <t>% of MR = (40 x (MHI/SMHI) + 15)</t>
  </si>
  <si>
    <t>MHI must be verified and include supporting documentation to qualify for PF</t>
  </si>
  <si>
    <t>Service area population must be verified and include supporting documentation to qualify for PF</t>
  </si>
  <si>
    <t>Interest rate = (SRF Quarterly Rate) x (% of MR)</t>
  </si>
  <si>
    <t xml:space="preserve"> for the quarter of </t>
  </si>
  <si>
    <t xml:space="preserve"> to </t>
  </si>
  <si>
    <t>Interest rate reductions for construction projects</t>
  </si>
  <si>
    <t xml:space="preserve">WC reduction = </t>
  </si>
  <si>
    <t xml:space="preserve">WS reduction = </t>
  </si>
  <si>
    <t xml:space="preserve">Interest Rate of Construction Project = </t>
  </si>
  <si>
    <t xml:space="preserve">AMP reduction = </t>
  </si>
  <si>
    <t xml:space="preserve">Interest Rate of Planning and/or Design Project = </t>
  </si>
  <si>
    <t>A loan is considered 'open' if the final disbursement has not been issued.</t>
  </si>
  <si>
    <t>Principal forgiveness awarded cannot exceed principal forgiveness calculated</t>
  </si>
  <si>
    <t>Technical services after bid opening include administrative costs</t>
  </si>
  <si>
    <t>Planning and/or Design Cost Calculation</t>
  </si>
  <si>
    <t>Planning</t>
  </si>
  <si>
    <t>Design</t>
  </si>
  <si>
    <t>Planning and Design</t>
  </si>
  <si>
    <t>Administrative</t>
  </si>
  <si>
    <t>Principal Forgiveness</t>
  </si>
  <si>
    <t>Planning Rollover</t>
  </si>
  <si>
    <t>Costs</t>
  </si>
  <si>
    <t>Increase</t>
  </si>
  <si>
    <t>Construction Costs</t>
  </si>
  <si>
    <t xml:space="preserve">Total Cost = </t>
  </si>
  <si>
    <t xml:space="preserve">Total PF = </t>
  </si>
  <si>
    <t>The sponsor must demonstrate a commitment to complete planning and design within 1-year to qualify</t>
  </si>
  <si>
    <t>A planning loan with principal forgiveness cannot rollover to a design loan until the final disbursement is issued</t>
  </si>
  <si>
    <t>Construction Cost Increase Calculation</t>
  </si>
  <si>
    <t>Increase #1</t>
  </si>
  <si>
    <t>Original Cost</t>
  </si>
  <si>
    <t>Revised Costs</t>
  </si>
  <si>
    <t>Revised PF</t>
  </si>
  <si>
    <t>Tech.Ser.</t>
  </si>
  <si>
    <t>AMP</t>
  </si>
  <si>
    <t>Cost Increase #1</t>
  </si>
  <si>
    <t>Original</t>
  </si>
  <si>
    <t>Increase #2</t>
  </si>
  <si>
    <t>Increase #3</t>
  </si>
  <si>
    <t>Type</t>
  </si>
  <si>
    <t>Cost Increase #2</t>
  </si>
  <si>
    <t>Cost Increase #3</t>
  </si>
  <si>
    <r>
      <t>Total</t>
    </r>
    <r>
      <rPr>
        <b/>
        <sz val="11"/>
        <rFont val="Arial"/>
        <family val="2"/>
      </rPr>
      <t xml:space="preserve"> =  </t>
    </r>
  </si>
  <si>
    <t>A planning loan with principal forgiveness will not rollover if the loan is considered open</t>
  </si>
  <si>
    <t>Original + Increase #1</t>
  </si>
  <si>
    <t>Original + Increase #1 &amp; #2</t>
  </si>
  <si>
    <t>PF%</t>
  </si>
  <si>
    <t>***Water conservation project includes EPA Conservation Plan? (yes, no, n/a)</t>
  </si>
  <si>
    <t xml:space="preserve">Interest rate % = </t>
  </si>
  <si>
    <t xml:space="preserve">PF% = </t>
  </si>
  <si>
    <t>Principal forgiveness calculated from 'Priority Score &amp; PF%' tab</t>
  </si>
  <si>
    <t>Interest rate calculated from 'Interest Rate' tab</t>
  </si>
  <si>
    <t xml:space="preserve">Interest Rate % = </t>
  </si>
  <si>
    <t>Total Planning Cost</t>
  </si>
  <si>
    <t>Total Design Cost</t>
  </si>
  <si>
    <t>Total Plan/Design Cost</t>
  </si>
  <si>
    <t>Increase #1 PF Awarded:</t>
  </si>
  <si>
    <t>Increase #1 Other Funding:</t>
  </si>
  <si>
    <t>Increase #2 PF Awarded:</t>
  </si>
  <si>
    <t>Increase #2 Other Funding:</t>
  </si>
  <si>
    <t>Increase #3 PF Awarded:</t>
  </si>
  <si>
    <t>Increase #3 Other Funding:</t>
  </si>
  <si>
    <t>PF Awarded:</t>
  </si>
  <si>
    <t>Other Funding:</t>
  </si>
  <si>
    <t xml:space="preserve">subtotal = </t>
  </si>
  <si>
    <r>
      <t>Total</t>
    </r>
    <r>
      <rPr>
        <b/>
        <sz val="10"/>
        <rFont val="Arial"/>
        <family val="2"/>
      </rPr>
      <t xml:space="preserve"> =  </t>
    </r>
  </si>
  <si>
    <r>
      <t>Other Funding</t>
    </r>
    <r>
      <rPr>
        <b/>
        <sz val="10"/>
        <rFont val="Arial"/>
        <family val="2"/>
      </rPr>
      <t xml:space="preserve"> =  </t>
    </r>
  </si>
  <si>
    <r>
      <t>PF Awarded</t>
    </r>
    <r>
      <rPr>
        <b/>
        <sz val="10"/>
        <rFont val="Arial"/>
        <family val="2"/>
      </rPr>
      <t xml:space="preserve"> =  </t>
    </r>
  </si>
  <si>
    <r>
      <t xml:space="preserve">Total </t>
    </r>
    <r>
      <rPr>
        <b/>
        <sz val="10"/>
        <rFont val="Arial"/>
        <family val="2"/>
      </rPr>
      <t xml:space="preserve">=  </t>
    </r>
  </si>
  <si>
    <t>Interest rate remains fixed for a loan with an increase</t>
  </si>
  <si>
    <t xml:space="preserve">Design Increase $ </t>
  </si>
  <si>
    <t>Sponsor has an 'open' loan with principal forgiveness? (yes or no)</t>
  </si>
  <si>
    <t>Total principal forgiveness does not account for any restrictions of PF to the original construciton loan amount</t>
  </si>
  <si>
    <t>Interest rate remains fixed for an increase to the original construction loan</t>
  </si>
  <si>
    <t>Sponsor's MHI and SRF's Market Rate verified and current? (yes or no)</t>
  </si>
  <si>
    <t>Construction bids received? (yes or no)</t>
  </si>
  <si>
    <t>Increase within the original scope of work? (yes or no)</t>
  </si>
  <si>
    <t>If MHI not verified, is MHI &lt;= SMHI? (yes or no)</t>
  </si>
  <si>
    <t>If MHI not verified, is MHI &gt; SMHI? (yes or no)</t>
  </si>
  <si>
    <t>If MHI is &lt;= SMHI and not verified, then 60% of MR</t>
  </si>
  <si>
    <t>If MHI is &gt; SMHI and not verified, then 75% of MR</t>
  </si>
  <si>
    <t xml:space="preserve">% MR = </t>
  </si>
  <si>
    <t>Calculated interest rate is a percentage of the market rate</t>
  </si>
  <si>
    <t>Contingency field is not protected to allow modification of equation</t>
  </si>
  <si>
    <t>Increase must be within the original scope of work to be eligible for loan</t>
  </si>
  <si>
    <t xml:space="preserve">
</t>
  </si>
  <si>
    <t>Drinking Water Project Calculations Spreadsheet</t>
  </si>
  <si>
    <t>Median household income includes supporting documentation? (yes or no)</t>
  </si>
  <si>
    <t>Service area population (P) includes supporting documentation? (yes or no)</t>
  </si>
  <si>
    <t>*Health categories include complete/sufficient sampling data? (yes, no, n/a)</t>
  </si>
  <si>
    <t>**Compliance-1 categories include supporting documentation? (yes, no, n/a)</t>
  </si>
  <si>
    <t>25% of project qualifies as water conservation (WC)? (yes or no)</t>
  </si>
  <si>
    <t>25% of project qualifies as water supply (WS) per 403 F.S.? (yes or no)</t>
  </si>
  <si>
    <t>Project includes principal forgiveness? (yes or no)</t>
  </si>
  <si>
    <t>Spreadsheet Summary</t>
  </si>
  <si>
    <t>Median Household Income</t>
  </si>
  <si>
    <t>Service Area Population</t>
  </si>
  <si>
    <t>Desgin</t>
  </si>
  <si>
    <t>Plan/Design</t>
  </si>
  <si>
    <t>SRF Loan</t>
  </si>
  <si>
    <t>Plan/Design Interest Rate %</t>
  </si>
  <si>
    <t>Priority Score</t>
  </si>
  <si>
    <t>Total planning cost includes 'Other Funding'</t>
  </si>
  <si>
    <t xml:space="preserve">Increase Number:  </t>
  </si>
  <si>
    <t>Enter 'yes' for each increase as they apply</t>
  </si>
  <si>
    <t>Priority score verified and current? (yes or no)</t>
  </si>
  <si>
    <t>Priority scoring must be based on components of the approved construction project</t>
  </si>
  <si>
    <t>Increase qualifies for principal forgiveness? (yes or no)</t>
  </si>
  <si>
    <t xml:space="preserve">Total #1 = </t>
  </si>
  <si>
    <t xml:space="preserve">Total #2 = </t>
  </si>
  <si>
    <t xml:space="preserve">Total #3 = </t>
  </si>
  <si>
    <t xml:space="preserve">PF #1 =  </t>
  </si>
  <si>
    <t xml:space="preserve">PF #2 =  </t>
  </si>
  <si>
    <t xml:space="preserve">PF #3 =  </t>
  </si>
  <si>
    <t>Contingency field for each increase is not protected to allow formula modification if necessary</t>
  </si>
  <si>
    <t>The amount of principal forgiveness awarded for each increase must be entered</t>
  </si>
  <si>
    <t>Loan Service Fee</t>
  </si>
  <si>
    <t>The MHI, population, and PF% values are from the 'Priority Score &amp; PF%' tab</t>
  </si>
  <si>
    <t>The Interest rate value is from the 'Interest Rate' tab</t>
  </si>
  <si>
    <t>Median Household Income (MHI), Score = 100 x (1.00 - MHI/SMHI)</t>
  </si>
  <si>
    <t>Service Area Population (P), Score = 50 - (P/200)</t>
  </si>
  <si>
    <t>Affordability Score = MHI Score + Population Score</t>
  </si>
  <si>
    <t>Base Priority Score Calculation</t>
  </si>
  <si>
    <t>The sponsor's MHI and SRF's Market Rate verified and current? (yes or no)</t>
  </si>
  <si>
    <t>PF awarded amount cannot exceed calculated amount</t>
  </si>
  <si>
    <t>Project connects &lt; 250 wells or existing system &lt; 250 connections? (yes or no)</t>
  </si>
  <si>
    <t>Sponsor has small disadvantaged, non-interconnected water system? (yes or no)</t>
  </si>
  <si>
    <t>Loan Fee</t>
  </si>
  <si>
    <t>mm/dd/yy</t>
  </si>
  <si>
    <t>Planning and/or design costs are from the 'Planning &amp; Design Cost' tab</t>
  </si>
  <si>
    <t>The planning/design cost does not include a rollover loan from planning to design</t>
  </si>
  <si>
    <t>Construction costs are from the 'Construction Cost/Cost Increase' tabs</t>
  </si>
  <si>
    <t>The effective PF% value is from the 'Construction Cost/Cost Increase' tabs</t>
  </si>
  <si>
    <t>The connecting community must be financially disadvantaged for maximum 50% principal forgiveness</t>
  </si>
  <si>
    <t>A sponsor's separate/non-interconnected system must be small/financially disadvantaged for max 50% PF</t>
  </si>
  <si>
    <t>Priority score info taken from current RFI</t>
  </si>
  <si>
    <t>This is a planning loan/Increase only? (yes or no)</t>
  </si>
  <si>
    <t>This is a rollover from a planning loan to a design loan only? (yes or no)</t>
  </si>
  <si>
    <t>This is a combined planning &amp; design loan/Increase only? (yes or no)</t>
  </si>
  <si>
    <t>This is a design loan/Increase only? (yes or no)</t>
  </si>
  <si>
    <t>This is an increase to an existing loan? (yes or no)</t>
  </si>
  <si>
    <t xml:space="preserve">Planning Increase $ </t>
  </si>
  <si>
    <t xml:space="preserve">Planning/Design Increase $ </t>
  </si>
  <si>
    <t>Planning Contingency? (yes or no)</t>
  </si>
  <si>
    <t>1-year commitment provided by sponsor? (yes or no)</t>
  </si>
  <si>
    <t>Design Contingency? (yes or no)</t>
  </si>
  <si>
    <t>Planning/Design Contingency? (yes or no)</t>
  </si>
  <si>
    <t>Contingency is 10% of costs</t>
  </si>
  <si>
    <t>Interest rate is calculated from the 'Interest Rate' tab</t>
  </si>
  <si>
    <t>Total Design w/Planning Rollover</t>
  </si>
  <si>
    <t>Sponsor is a small financially disadvantaged system? (yes or no)</t>
  </si>
  <si>
    <t>Asset Management Plan (AMP)</t>
  </si>
  <si>
    <t>Asset Mangement Plan (AMP)</t>
  </si>
  <si>
    <t>Asset Mgmt. Plan (AMP)</t>
  </si>
  <si>
    <t>If a project sponsor qualifies as financially disadvantaged (&lt; SMHI) or small financially disadvantaged (&lt;SMHI &amp; &lt;10,000) and is connecting a community that is financially disadvantaged with less than 250 residential water wells or an existing public water system with less than 250 service connections, or if the sponsor is upgrading a separate, non-interconnected smalll financially disadvantaged public water system owned by the sponsor; then the sponsor has the option to choose the status that will gain the greatest PF% for the sponsor. For example, a small financially disadvantaged sponsor that qualifies for 30% PF for a construction project may qualify for a maximum of 50% PF if the project is connecting less than 250 residential wells for a financially disadvantaged community. If the sponsor chooses the option with a maximum 50% PF, then the MHI and population of the connecting  community is used to calculate the priority score and percentage of principal forgivenss up to 50%.</t>
  </si>
  <si>
    <t>SRF market rate and begin/end date of quarter must be entered to calculate</t>
  </si>
  <si>
    <t>Planning/Design PF % (if eligible)</t>
  </si>
  <si>
    <t>Construction PF % (if eligible)</t>
  </si>
  <si>
    <t>Effective PF % (includes cost Increase)</t>
  </si>
  <si>
    <t>Construction Interest Rate % (includes AMP reduction)</t>
  </si>
  <si>
    <t xml:space="preserve">Construction Interest Rate with reductions = </t>
  </si>
  <si>
    <t>Increased % of MR</t>
  </si>
  <si>
    <t>Market Rate (MR)</t>
  </si>
  <si>
    <t>MHI Increase</t>
  </si>
  <si>
    <t>Calculated Interest Rate per $250 MHI Increase</t>
  </si>
  <si>
    <t>Cumulative Interest</t>
  </si>
  <si>
    <t>Ending Balance</t>
  </si>
  <si>
    <t>Interest</t>
  </si>
  <si>
    <t>Principal</t>
  </si>
  <si>
    <t>Total Payment</t>
  </si>
  <si>
    <t>Extra Payment</t>
  </si>
  <si>
    <t>Scheduled Payment</t>
  </si>
  <si>
    <t>Beginning Balance</t>
  </si>
  <si>
    <t>Payment Date</t>
  </si>
  <si>
    <t>PmtNo.</t>
  </si>
  <si>
    <t>Loan Amount</t>
  </si>
  <si>
    <t>DWSRF</t>
  </si>
  <si>
    <t>Lender name:</t>
  </si>
  <si>
    <t>Optional extra payments</t>
  </si>
  <si>
    <t>Total interest</t>
  </si>
  <si>
    <t>Start date of loan</t>
  </si>
  <si>
    <t>Total early payments</t>
  </si>
  <si>
    <t>Number of payments per year</t>
  </si>
  <si>
    <t>Actual number of payments</t>
  </si>
  <si>
    <t>Loan period in years</t>
  </si>
  <si>
    <t>Scheduled number of payments</t>
  </si>
  <si>
    <t>Annual interest rate</t>
  </si>
  <si>
    <t>Scheduled payment</t>
  </si>
  <si>
    <t>Loan amount</t>
  </si>
  <si>
    <t>30 year term</t>
  </si>
  <si>
    <t>20 year term</t>
  </si>
  <si>
    <t>10 year term</t>
  </si>
  <si>
    <t>Loan summary</t>
  </si>
  <si>
    <t>Enter values</t>
  </si>
  <si>
    <t>Loan Amortization Schedule</t>
  </si>
  <si>
    <t>Calculated Interest $ Amount per Increment of 0.01%</t>
  </si>
  <si>
    <t>Calculated Interest $ Amount per Increment of 0.1%</t>
  </si>
  <si>
    <t>Construction interest rate reduction for Asset Management Plan (AMP)</t>
  </si>
  <si>
    <t>Project Sponsor has an existing AMP? (yes or no)</t>
  </si>
  <si>
    <t>Date implementation verified? (mm/dd/yy)</t>
  </si>
  <si>
    <t>Implementation of the existing AMP has been verified? (yes or no)</t>
  </si>
  <si>
    <t>New AMP will be implemented before repayment of loan? (yes or no)</t>
  </si>
  <si>
    <t>Project Sponsor is developing new AMP? (yes or no)</t>
  </si>
  <si>
    <t>Project Sponsor must demonstrate AMP is updated and maintained annually.</t>
  </si>
  <si>
    <t>Authorized SRF Loan</t>
  </si>
  <si>
    <t>Final Loan Costs</t>
  </si>
  <si>
    <t>Subtotal for Construction:</t>
  </si>
  <si>
    <t>Subtotal for Tech Services:</t>
  </si>
  <si>
    <t>TOTALS:</t>
  </si>
  <si>
    <t>Total per Loan Agreement:</t>
  </si>
  <si>
    <t>Total Amount Disbursed:</t>
  </si>
  <si>
    <t>Loan Amount Recovered:</t>
  </si>
  <si>
    <t>Actual Project Costs</t>
  </si>
  <si>
    <r>
      <rPr>
        <b/>
        <u/>
        <sz val="10"/>
        <rFont val="Arial"/>
        <family val="2"/>
      </rPr>
      <t>Total Cost</t>
    </r>
    <r>
      <rPr>
        <b/>
        <sz val="10"/>
        <rFont val="Arial"/>
        <family val="2"/>
      </rPr>
      <t xml:space="preserve"> = </t>
    </r>
  </si>
  <si>
    <r>
      <rPr>
        <b/>
        <u/>
        <sz val="10"/>
        <rFont val="Arial"/>
        <family val="2"/>
      </rPr>
      <t>Total PF</t>
    </r>
    <r>
      <rPr>
        <b/>
        <sz val="10"/>
        <rFont val="Arial"/>
        <family val="2"/>
      </rPr>
      <t xml:space="preserve"> =  </t>
    </r>
  </si>
  <si>
    <t>Revised Effective PF% Rate</t>
  </si>
  <si>
    <t>Adjusted Loan to Principal Forgivenss $ Amount</t>
  </si>
  <si>
    <t>Max PF =</t>
  </si>
  <si>
    <t>Loan Fee is 2% of loan and PF</t>
  </si>
  <si>
    <t>The intent of this spreadsheet is to calculate the priority score, principal forgiveness, interest rate, planning costs, design costs, construction costs, and cost increases of a drinking water SRF project in accordance with Chapter 62-552, F.A.C. (adopted 3/9/22). This spreadsheet is structured to calculate these values only if specific information is verified and validated as accurate. The 'gray' cells are calculation fields and are protected, except for the 'contengency' cells to allow formula modification if necessary. 'Notes' are provided adjacent to certain cells to provide clarification.</t>
  </si>
  <si>
    <r>
      <t xml:space="preserve">MHI must be verified to qualify for </t>
    </r>
    <r>
      <rPr>
        <b/>
        <i/>
        <u/>
        <sz val="11"/>
        <rFont val="Arial"/>
        <family val="2"/>
      </rPr>
      <t>% of MR</t>
    </r>
  </si>
  <si>
    <t>Water meter project does not require DB and may not require AIS.</t>
  </si>
  <si>
    <t>Construction requires Davis-Bacon and American Iron &amp; Steel? (yes or no)</t>
  </si>
  <si>
    <t xml:space="preserve">DB/AIS reduction = </t>
  </si>
  <si>
    <t>Minimum interest rate is 0.2% per rule</t>
  </si>
  <si>
    <t>Implementation verified with final disbursement or 3-months prior to first scheduled repayment</t>
  </si>
  <si>
    <t>An increase does not qualify for principal forgiveness</t>
  </si>
  <si>
    <t>PF is only available for an AMP for a small financially disadvantage system</t>
  </si>
  <si>
    <t>PF% for an asset management plan is the same as construction if part of the construction loan</t>
  </si>
  <si>
    <t>Total design cost includes 'Other Funding'</t>
  </si>
  <si>
    <t>Total design w/rollover cost includes 'Other Funding'</t>
  </si>
  <si>
    <t>Total design and planning cost includes 'Other Funding'</t>
  </si>
  <si>
    <t>Total construction cost includes 'Other Funding'</t>
  </si>
  <si>
    <t>Misc/</t>
  </si>
  <si>
    <t>Miscellaneous costs must be defined</t>
  </si>
  <si>
    <t>Principal forgiveness % is calculated from 'Priority Score &amp; PF%' tab</t>
  </si>
  <si>
    <t>A sponsor is not eligible for PF or for an AMP unless a small financially disadvangted system</t>
  </si>
  <si>
    <t>If original contingency is 10%, then half of original is subtracted from contingency of cost increase</t>
  </si>
  <si>
    <t>If eligible, PF% listed here applies to the increased loan amount</t>
  </si>
  <si>
    <r>
      <rPr>
        <b/>
        <sz val="10"/>
        <rFont val="Arial"/>
        <family val="2"/>
      </rPr>
      <t xml:space="preserve">     </t>
    </r>
    <r>
      <rPr>
        <b/>
        <u/>
        <sz val="10"/>
        <rFont val="Arial"/>
        <family val="2"/>
      </rPr>
      <t>Technical Services During Construction</t>
    </r>
  </si>
  <si>
    <r>
      <t xml:space="preserve">     </t>
    </r>
    <r>
      <rPr>
        <b/>
        <u/>
        <sz val="10"/>
        <rFont val="Arial"/>
        <family val="2"/>
      </rPr>
      <t>Construction and Demolition</t>
    </r>
  </si>
  <si>
    <r>
      <rPr>
        <b/>
        <sz val="10"/>
        <rFont val="Arial"/>
        <family val="2"/>
      </rPr>
      <t xml:space="preserve">     </t>
    </r>
    <r>
      <rPr>
        <b/>
        <u/>
        <sz val="10"/>
        <rFont val="Arial"/>
        <family val="2"/>
      </rPr>
      <t>Misc/</t>
    </r>
  </si>
  <si>
    <t xml:space="preserve">     Loan Service Fee</t>
  </si>
  <si>
    <t>Subtotal for Misc:</t>
  </si>
  <si>
    <r>
      <rPr>
        <b/>
        <sz val="10"/>
        <rFont val="Arial"/>
        <family val="2"/>
      </rPr>
      <t xml:space="preserve">     </t>
    </r>
    <r>
      <rPr>
        <b/>
        <u/>
        <sz val="10"/>
        <rFont val="Arial"/>
        <family val="2"/>
      </rPr>
      <t>Land</t>
    </r>
  </si>
  <si>
    <r>
      <rPr>
        <b/>
        <sz val="10"/>
        <rFont val="Arial"/>
        <family val="2"/>
      </rPr>
      <t xml:space="preserve">     </t>
    </r>
    <r>
      <rPr>
        <b/>
        <u/>
        <sz val="10"/>
        <rFont val="Arial"/>
        <family val="2"/>
      </rPr>
      <t>Contingency</t>
    </r>
  </si>
  <si>
    <r>
      <rPr>
        <b/>
        <sz val="10"/>
        <rFont val="Arial"/>
        <family val="2"/>
      </rPr>
      <t xml:space="preserve">     </t>
    </r>
    <r>
      <rPr>
        <b/>
        <u/>
        <sz val="10"/>
        <rFont val="Arial"/>
        <family val="2"/>
      </rPr>
      <t>Asset Management Plan</t>
    </r>
  </si>
  <si>
    <r>
      <rPr>
        <b/>
        <sz val="10"/>
        <rFont val="Arial"/>
        <family val="2"/>
      </rPr>
      <t xml:space="preserve">     </t>
    </r>
    <r>
      <rPr>
        <b/>
        <u/>
        <sz val="10"/>
        <rFont val="Arial"/>
        <family val="2"/>
      </rPr>
      <t>Less Other Funds</t>
    </r>
  </si>
  <si>
    <t>Final (Amendment) Planning/Design Project Cost Worksheet</t>
  </si>
  <si>
    <t>Subtotal for Planning:</t>
  </si>
  <si>
    <t>SRF Planning Contingeny</t>
  </si>
  <si>
    <t>Project Planning Cost Incresase</t>
  </si>
  <si>
    <t>Total Planning Costs Expended:</t>
  </si>
  <si>
    <t>Subtotal for Design:</t>
  </si>
  <si>
    <t>SRF Design Contingeny</t>
  </si>
  <si>
    <t>Project Design Cost Increase</t>
  </si>
  <si>
    <t>Total Design Costs Expended:</t>
  </si>
  <si>
    <t>Actual Planning Costs</t>
  </si>
  <si>
    <t>Planning/Tech</t>
  </si>
  <si>
    <t>Actual Design Costs</t>
  </si>
  <si>
    <t>Design/Tech</t>
  </si>
  <si>
    <t>SRF PF/Grant</t>
  </si>
  <si>
    <t>SRF Total</t>
  </si>
  <si>
    <t>Final (Amendment) Construction Project Cost Worksheet</t>
  </si>
  <si>
    <t>SRF Planning and Design Contingeny</t>
  </si>
  <si>
    <t>Project Planning and Design Cost Increase</t>
  </si>
  <si>
    <t>Total Planning and Design Costs Expended:</t>
  </si>
  <si>
    <t>Subtotal for Planning and Design:</t>
  </si>
  <si>
    <t>Less Other Funding for Planning:</t>
  </si>
  <si>
    <t>Less Other Funding for Design:</t>
  </si>
  <si>
    <t>Less Other Funding for Planning and Design:</t>
  </si>
  <si>
    <r>
      <rPr>
        <b/>
        <u/>
        <sz val="11"/>
        <rFont val="Arial"/>
        <family val="2"/>
      </rPr>
      <t>PLANNING</t>
    </r>
    <r>
      <rPr>
        <b/>
        <u/>
        <sz val="10"/>
        <rFont val="Arial"/>
        <family val="2"/>
      </rPr>
      <t xml:space="preserve"> </t>
    </r>
    <r>
      <rPr>
        <u/>
        <sz val="10"/>
        <rFont val="Arial"/>
        <family val="2"/>
      </rPr>
      <t>(with Technical Service Contracts)</t>
    </r>
  </si>
  <si>
    <r>
      <rPr>
        <b/>
        <u/>
        <sz val="11"/>
        <rFont val="Arial"/>
        <family val="2"/>
      </rPr>
      <t>DESIGN</t>
    </r>
    <r>
      <rPr>
        <u/>
        <sz val="10"/>
        <rFont val="Arial"/>
        <family val="2"/>
      </rPr>
      <t xml:space="preserve"> (with Technical Service Contracts)</t>
    </r>
  </si>
  <si>
    <r>
      <rPr>
        <b/>
        <u/>
        <sz val="11"/>
        <rFont val="Arial"/>
        <family val="2"/>
      </rPr>
      <t>PLANNING and DESIGN</t>
    </r>
    <r>
      <rPr>
        <u/>
        <sz val="10"/>
        <rFont val="Arial"/>
        <family val="2"/>
      </rPr>
      <t xml:space="preserve"> (with Technical Service Contracts)</t>
    </r>
  </si>
  <si>
    <t>Total Planning Costs:</t>
  </si>
  <si>
    <t>Total Design Costs:</t>
  </si>
  <si>
    <t>Total Planning and Design Costs:</t>
  </si>
  <si>
    <t>Loan Service Fee:</t>
  </si>
  <si>
    <t>Asset Management Planning Cost</t>
  </si>
  <si>
    <t>Asset Management Design Cost</t>
  </si>
  <si>
    <t>Asset Management Planning and Design Cost</t>
  </si>
  <si>
    <t>SRF Principal Forgiveness</t>
  </si>
  <si>
    <t>Calculated Planning Principal Forgiveness</t>
  </si>
  <si>
    <t>Calculated Design Principal Forgiveness</t>
  </si>
  <si>
    <t>Actual Planning and Design Costs</t>
  </si>
  <si>
    <t>Calculated Planning and Design Principal Forgiveness</t>
  </si>
  <si>
    <r>
      <t xml:space="preserve">Adjusted </t>
    </r>
    <r>
      <rPr>
        <b/>
        <i/>
        <u/>
        <sz val="11"/>
        <rFont val="Arial"/>
        <family val="2"/>
      </rPr>
      <t>Planning Loan</t>
    </r>
    <r>
      <rPr>
        <b/>
        <u/>
        <sz val="11"/>
        <rFont val="Arial"/>
        <family val="2"/>
      </rPr>
      <t xml:space="preserve"> to Principal Forgiveness</t>
    </r>
  </si>
  <si>
    <r>
      <t xml:space="preserve">Adjusted </t>
    </r>
    <r>
      <rPr>
        <b/>
        <i/>
        <u/>
        <sz val="11"/>
        <rFont val="Arial"/>
        <family val="2"/>
      </rPr>
      <t>Design Loan</t>
    </r>
    <r>
      <rPr>
        <b/>
        <u/>
        <sz val="11"/>
        <rFont val="Arial"/>
        <family val="2"/>
      </rPr>
      <t xml:space="preserve"> to Principal Forgiveness</t>
    </r>
  </si>
  <si>
    <r>
      <t xml:space="preserve">Adjusted Planning &amp; </t>
    </r>
    <r>
      <rPr>
        <b/>
        <i/>
        <u/>
        <sz val="11"/>
        <rFont val="Arial"/>
        <family val="2"/>
      </rPr>
      <t>Design Loan</t>
    </r>
    <r>
      <rPr>
        <b/>
        <u/>
        <sz val="11"/>
        <rFont val="Arial"/>
        <family val="2"/>
      </rPr>
      <t xml:space="preserve"> to Principal Forgiveness</t>
    </r>
  </si>
  <si>
    <r>
      <t xml:space="preserve">Adjusted </t>
    </r>
    <r>
      <rPr>
        <b/>
        <i/>
        <u/>
        <sz val="11"/>
        <rFont val="Arial"/>
        <family val="2"/>
      </rPr>
      <t>Design w/Planning</t>
    </r>
    <r>
      <rPr>
        <b/>
        <u/>
        <sz val="11"/>
        <rFont val="Arial"/>
        <family val="2"/>
      </rPr>
      <t xml:space="preserve"> Rollover Loan to Principal Forgiveness</t>
    </r>
  </si>
  <si>
    <t>yes</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</si>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</sst>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Red]\(0.00\)"/>
    <numFmt numFmtId="165" formatCode="&quot;$&quot;#,##0"/>
    <numFmt numFmtId="166" formatCode="m/d/yy;@"/>
    <numFmt numFmtId="167" formatCode="0_);[Red]\(0\)"/>
    <numFmt numFmtId="168" formatCode="0.0%"/>
    <numFmt numFmtId="169" formatCode="0_)"/>
    <numFmt numFmtId="170" formatCode="0.00?%_)"/>
  </numFmts>
  <fonts count="51" x14ac:knownFonts="1">
    <font>
      <sz val="10"/>
      <name val="Arial"/>
    </font>
    <font>
      <sz val="10"/>
      <color indexed="12"/>
      <name val="Arial"/>
      <family val="2"/>
    </font>
    <font>
      <b/>
      <sz val="14"/>
      <color indexed="12"/>
      <name val="Arial"/>
      <family val="2"/>
    </font>
    <font>
      <sz val="10"/>
      <name val="Arial"/>
      <family val="2"/>
    </font>
    <font>
      <sz val="11"/>
      <name val="Arial"/>
      <family val="2"/>
    </font>
    <font>
      <b/>
      <sz val="11"/>
      <name val="Arial"/>
      <family val="2"/>
    </font>
    <font>
      <b/>
      <sz val="12"/>
      <name val="Arial"/>
      <family val="2"/>
    </font>
    <font>
      <b/>
      <i/>
      <u/>
      <sz val="14"/>
      <color rgb="FFFF0000"/>
      <name val="Arial"/>
      <family val="2"/>
    </font>
    <font>
      <u/>
      <sz val="11"/>
      <name val="Arial"/>
      <family val="2"/>
    </font>
    <font>
      <u/>
      <sz val="10"/>
      <name val="Arial"/>
      <family val="2"/>
    </font>
    <font>
      <b/>
      <i/>
      <sz val="13"/>
      <name val="Arial"/>
      <family val="2"/>
    </font>
    <font>
      <b/>
      <sz val="10"/>
      <name val="Arial"/>
      <family val="2"/>
    </font>
    <font>
      <b/>
      <i/>
      <sz val="18"/>
      <name val="Arial"/>
      <family val="2"/>
    </font>
    <font>
      <b/>
      <u/>
      <sz val="11"/>
      <name val="Arial"/>
      <family val="2"/>
    </font>
    <font>
      <b/>
      <i/>
      <u/>
      <sz val="10"/>
      <name val="Arial"/>
      <family val="2"/>
    </font>
    <font>
      <sz val="10"/>
      <color rgb="FF0000FF"/>
      <name val="Arial"/>
      <family val="2"/>
    </font>
    <font>
      <b/>
      <sz val="10"/>
      <color rgb="FF0000FF"/>
      <name val="Arial"/>
      <family val="2"/>
    </font>
    <font>
      <sz val="12"/>
      <color rgb="FF0000FF"/>
      <name val="Arial"/>
      <family val="2"/>
    </font>
    <font>
      <b/>
      <i/>
      <u/>
      <sz val="11"/>
      <name val="Arial"/>
      <family val="2"/>
    </font>
    <font>
      <b/>
      <u/>
      <sz val="13"/>
      <name val="Arial"/>
      <family val="2"/>
    </font>
    <font>
      <b/>
      <u/>
      <sz val="10"/>
      <name val="Arial"/>
      <family val="2"/>
    </font>
    <font>
      <b/>
      <u/>
      <sz val="12"/>
      <name val="Arial"/>
      <family val="2"/>
    </font>
    <font>
      <b/>
      <i/>
      <u/>
      <sz val="12"/>
      <name val="Arial"/>
      <family val="2"/>
    </font>
    <font>
      <b/>
      <sz val="18"/>
      <name val="Arial"/>
      <family val="2"/>
    </font>
    <font>
      <b/>
      <sz val="12"/>
      <color theme="1"/>
      <name val="Arial"/>
      <family val="2"/>
    </font>
    <font>
      <u/>
      <sz val="10"/>
      <color theme="1"/>
      <name val="Arial"/>
      <family val="2"/>
    </font>
    <font>
      <b/>
      <sz val="14"/>
      <color rgb="FFFF0000"/>
      <name val="Arial"/>
      <family val="2"/>
    </font>
    <font>
      <b/>
      <u/>
      <sz val="18"/>
      <name val="Arial"/>
      <family val="2"/>
    </font>
    <font>
      <b/>
      <u/>
      <sz val="17"/>
      <name val="Arial"/>
      <family val="2"/>
    </font>
    <font>
      <sz val="12"/>
      <name val="Arial"/>
      <family val="2"/>
    </font>
    <font>
      <sz val="10.5"/>
      <name val="Arial"/>
      <family val="2"/>
    </font>
    <font>
      <u/>
      <sz val="10"/>
      <color theme="10"/>
      <name val="Arial"/>
      <family val="2"/>
    </font>
    <font>
      <sz val="10"/>
      <name val="Arial"/>
      <family val="2"/>
    </font>
    <font>
      <sz val="10"/>
      <color indexed="23"/>
      <name val="Arial"/>
      <family val="2"/>
    </font>
    <font>
      <b/>
      <sz val="10"/>
      <name val="Century Gothic"/>
      <family val="2"/>
    </font>
    <font>
      <sz val="10"/>
      <name val="Century Gothic"/>
      <family val="2"/>
    </font>
    <font>
      <sz val="9"/>
      <name val="Century Gothic"/>
      <family val="2"/>
    </font>
    <font>
      <b/>
      <sz val="9"/>
      <name val="Century Gothic"/>
      <family val="2"/>
    </font>
    <font>
      <b/>
      <sz val="18"/>
      <name val="Century Gothic"/>
      <family val="2"/>
    </font>
    <font>
      <b/>
      <sz val="13"/>
      <name val="Arial"/>
      <family val="2"/>
    </font>
    <font>
      <b/>
      <i/>
      <sz val="10"/>
      <color rgb="FF0000FF"/>
      <name val="Arial"/>
      <family val="2"/>
    </font>
    <font>
      <b/>
      <i/>
      <u/>
      <sz val="10"/>
      <color rgb="FF0000FF"/>
      <name val="Arial"/>
      <family val="2"/>
    </font>
    <font>
      <b/>
      <sz val="16"/>
      <name val="Arial"/>
      <family val="2"/>
    </font>
    <font>
      <b/>
      <i/>
      <sz val="18"/>
      <color rgb="FFFF0000"/>
      <name val="Arial"/>
      <family val="2"/>
    </font>
    <font>
      <sz val="9"/>
      <name val="Arial"/>
      <family val="2"/>
    </font>
    <font>
      <b/>
      <u/>
      <sz val="9.5"/>
      <name val="Arial"/>
      <family val="2"/>
    </font>
    <font>
      <b/>
      <sz val="10"/>
      <color rgb="FFFF0000"/>
      <name val="Arial"/>
      <family val="2"/>
    </font>
    <font>
      <b/>
      <i/>
      <sz val="11"/>
      <color rgb="FFFF0000"/>
      <name val="Arial"/>
      <family val="2"/>
    </font>
    <font>
      <b/>
      <i/>
      <sz val="11"/>
      <color indexed="12"/>
      <name val="Arial"/>
      <family val="2"/>
    </font>
    <font>
      <b/>
      <i/>
      <sz val="11"/>
      <color rgb="FF0000FF"/>
      <name val="Arial"/>
      <family val="2"/>
    </font>
    <font>
      <b/>
      <i/>
      <u/>
      <sz val="11"/>
      <color rgb="FF0000FF"/>
      <name val="Arial"/>
      <family val="2"/>
    </font>
  </fonts>
  <fills count="1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indexed="22"/>
        <bgColor indexed="64"/>
      </patternFill>
    </fill>
    <fill>
      <patternFill patternType="solid">
        <fgColor theme="4" tint="0.79998168889431442"/>
        <bgColor indexed="64"/>
      </patternFill>
    </fill>
    <fill>
      <patternFill patternType="solid">
        <fgColor indexed="8"/>
        <bgColor indexed="64"/>
      </patternFill>
    </fill>
    <fill>
      <patternFill patternType="solid">
        <fgColor theme="1"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16"/>
      </bottom>
      <diagonal/>
    </border>
    <border>
      <left style="thin">
        <color indexed="64"/>
      </left>
      <right style="medium">
        <color indexed="64"/>
      </right>
      <top style="thin">
        <color indexed="64"/>
      </top>
      <bottom style="medium">
        <color indexed="64"/>
      </bottom>
      <diagonal/>
    </border>
    <border>
      <left/>
      <right/>
      <top style="hair">
        <color indexed="16"/>
      </top>
      <bottom/>
      <diagonal/>
    </border>
    <border>
      <left/>
      <right style="hair">
        <color indexed="16"/>
      </right>
      <top style="hair">
        <color indexed="16"/>
      </top>
      <bottom/>
      <diagonal/>
    </border>
    <border>
      <left style="hair">
        <color indexed="16"/>
      </left>
      <right/>
      <top style="hair">
        <color indexed="16"/>
      </top>
      <bottom/>
      <diagonal/>
    </border>
    <border>
      <left style="thin">
        <color indexed="64"/>
      </left>
      <right style="medium">
        <color indexed="64"/>
      </right>
      <top/>
      <bottom style="thin">
        <color indexed="64"/>
      </bottom>
      <diagonal/>
    </border>
    <border>
      <left style="hair">
        <color indexed="16"/>
      </left>
      <right style="hair">
        <color indexed="16"/>
      </right>
      <top style="hair">
        <color indexed="16"/>
      </top>
      <bottom style="hair">
        <color indexed="16"/>
      </bottom>
      <diagonal/>
    </border>
    <border>
      <left style="hair">
        <color indexed="16"/>
      </left>
      <right/>
      <top/>
      <bottom style="hair">
        <color indexed="16"/>
      </bottom>
      <diagonal/>
    </border>
    <border>
      <left style="hair">
        <color indexed="16"/>
      </left>
      <right style="hair">
        <color indexed="16"/>
      </right>
      <top/>
      <bottom style="hair">
        <color indexed="16"/>
      </bottom>
      <diagonal/>
    </border>
    <border>
      <left style="hair">
        <color indexed="16"/>
      </left>
      <right/>
      <top/>
      <bottom/>
      <diagonal/>
    </border>
    <border>
      <left/>
      <right style="hair">
        <color indexed="16"/>
      </right>
      <top style="hair">
        <color indexed="16"/>
      </top>
      <bottom style="hair">
        <color indexed="16"/>
      </bottom>
      <diagonal/>
    </border>
    <border>
      <left/>
      <right/>
      <top style="hair">
        <color indexed="16"/>
      </top>
      <bottom style="hair">
        <color indexed="16"/>
      </bottom>
      <diagonal/>
    </border>
    <border>
      <left style="hair">
        <color indexed="16"/>
      </left>
      <right/>
      <top style="hair">
        <color indexed="16"/>
      </top>
      <bottom style="hair">
        <color indexed="16"/>
      </bottom>
      <diagonal/>
    </border>
    <border>
      <left style="medium">
        <color indexed="64"/>
      </left>
      <right style="thin">
        <color indexed="64"/>
      </right>
      <top/>
      <bottom/>
      <diagonal/>
    </border>
    <border>
      <left/>
      <right style="medium">
        <color indexed="64"/>
      </right>
      <top/>
      <bottom style="thin">
        <color indexed="64"/>
      </bottom>
      <diagonal/>
    </border>
  </borders>
  <cellStyleXfs count="3">
    <xf numFmtId="0" fontId="0" fillId="0" borderId="0"/>
    <xf numFmtId="0" fontId="31" fillId="0" borderId="0" applyNumberFormat="0" applyFill="0" applyBorder="0" applyAlignment="0" applyProtection="0"/>
    <xf numFmtId="44" fontId="32" fillId="0" borderId="0" applyFont="0" applyFill="0" applyBorder="0" applyAlignment="0" applyProtection="0"/>
  </cellStyleXfs>
  <cellXfs count="635">
    <xf numFmtId="0" fontId="0" fillId="0" borderId="0" xfId="0"/>
    <xf numFmtId="9" fontId="1" fillId="0" borderId="0" xfId="0" applyNumberFormat="1" applyFont="1" applyAlignment="1" applyProtection="1">
      <alignment horizontal="left"/>
      <protection locked="0"/>
    </xf>
    <xf numFmtId="0" fontId="12" fillId="0" borderId="0" xfId="0" applyFont="1" applyFill="1" applyAlignment="1" applyProtection="1">
      <alignment vertical="center"/>
      <protection locked="0"/>
    </xf>
    <xf numFmtId="0" fontId="0" fillId="0" borderId="0" xfId="0" applyProtection="1">
      <protection locked="0"/>
    </xf>
    <xf numFmtId="0" fontId="10" fillId="0" borderId="0" xfId="0" applyNumberFormat="1"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protection locked="0"/>
    </xf>
    <xf numFmtId="0" fontId="3" fillId="0" borderId="0" xfId="0" applyFont="1" applyProtection="1">
      <protection locked="0"/>
    </xf>
    <xf numFmtId="165" fontId="0" fillId="0" borderId="0" xfId="0" applyNumberFormat="1" applyFill="1" applyBorder="1" applyProtection="1">
      <protection locked="0"/>
    </xf>
    <xf numFmtId="0" fontId="4" fillId="0" borderId="0" xfId="0" applyFont="1" applyFill="1" applyBorder="1" applyAlignment="1" applyProtection="1">
      <alignment horizontal="left"/>
      <protection locked="0"/>
    </xf>
    <xf numFmtId="3" fontId="0" fillId="0" borderId="0" xfId="0" applyNumberFormat="1" applyFill="1" applyBorder="1" applyProtection="1">
      <protection locked="0"/>
    </xf>
    <xf numFmtId="0" fontId="8" fillId="0" borderId="0" xfId="0" applyFont="1" applyFill="1" applyBorder="1" applyAlignment="1" applyProtection="1">
      <alignment horizontal="left"/>
      <protection locked="0"/>
    </xf>
    <xf numFmtId="0" fontId="8" fillId="0" borderId="0" xfId="0" applyFont="1" applyAlignment="1" applyProtection="1">
      <alignment horizontal="left" vertical="center"/>
      <protection locked="0"/>
    </xf>
    <xf numFmtId="0" fontId="0" fillId="0" borderId="0" xfId="0" applyFill="1" applyProtection="1">
      <protection locked="0"/>
    </xf>
    <xf numFmtId="0" fontId="9" fillId="0" borderId="0" xfId="0" applyFont="1" applyFill="1" applyProtection="1">
      <protection locked="0"/>
    </xf>
    <xf numFmtId="0" fontId="0" fillId="0" borderId="0" xfId="0" applyFill="1" applyBorder="1" applyProtection="1">
      <protection locked="0"/>
    </xf>
    <xf numFmtId="0" fontId="9" fillId="0" borderId="0" xfId="0" applyFont="1" applyFill="1" applyAlignment="1" applyProtection="1">
      <alignment horizontal="left"/>
      <protection locked="0"/>
    </xf>
    <xf numFmtId="0" fontId="5" fillId="0" borderId="0" xfId="0" quotePrefix="1" applyFont="1" applyFill="1" applyBorder="1" applyAlignment="1" applyProtection="1">
      <alignment horizontal="right" vertical="center"/>
      <protection locked="0"/>
    </xf>
    <xf numFmtId="0" fontId="11" fillId="0" borderId="0" xfId="0" quotePrefix="1" applyFont="1" applyFill="1" applyBorder="1" applyAlignment="1" applyProtection="1">
      <alignment horizontal="right" vertical="center"/>
      <protection locked="0"/>
    </xf>
    <xf numFmtId="0" fontId="14" fillId="0" borderId="0" xfId="0" applyFont="1" applyBorder="1" applyAlignment="1" applyProtection="1">
      <protection locked="0"/>
    </xf>
    <xf numFmtId="0" fontId="14" fillId="0" borderId="0" xfId="0" applyFont="1" applyBorder="1" applyAlignment="1" applyProtection="1">
      <alignment horizontal="center"/>
      <protection locked="0"/>
    </xf>
    <xf numFmtId="165" fontId="14" fillId="0" borderId="0" xfId="0" applyNumberFormat="1" applyFont="1" applyBorder="1" applyAlignment="1" applyProtection="1">
      <alignment horizontal="center"/>
      <protection locked="0"/>
    </xf>
    <xf numFmtId="165" fontId="0" fillId="0" borderId="0" xfId="0" applyNumberFormat="1" applyFill="1" applyBorder="1" applyAlignment="1" applyProtection="1">
      <alignment horizontal="center"/>
      <protection locked="0"/>
    </xf>
    <xf numFmtId="0" fontId="0" fillId="0" borderId="0" xfId="0" applyBorder="1" applyProtection="1">
      <protection locked="0"/>
    </xf>
    <xf numFmtId="6" fontId="15" fillId="2" borderId="1" xfId="0" applyNumberFormat="1" applyFont="1" applyFill="1" applyBorder="1" applyProtection="1">
      <protection locked="0"/>
    </xf>
    <xf numFmtId="6" fontId="15" fillId="2" borderId="15" xfId="0" applyNumberFormat="1" applyFont="1" applyFill="1" applyBorder="1" applyProtection="1">
      <protection locked="0"/>
    </xf>
    <xf numFmtId="166" fontId="17" fillId="2" borderId="9"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165" fontId="15" fillId="2" borderId="9" xfId="0" applyNumberFormat="1" applyFont="1" applyFill="1" applyBorder="1" applyProtection="1">
      <protection locked="0"/>
    </xf>
    <xf numFmtId="2" fontId="15" fillId="6" borderId="9" xfId="0" applyNumberFormat="1" applyFont="1" applyFill="1" applyBorder="1" applyProtection="1"/>
    <xf numFmtId="2" fontId="15" fillId="6" borderId="9" xfId="0" quotePrefix="1" applyNumberFormat="1" applyFont="1" applyFill="1" applyBorder="1" applyAlignment="1" applyProtection="1">
      <alignment horizontal="right" vertical="center"/>
    </xf>
    <xf numFmtId="165" fontId="15" fillId="2" borderId="9" xfId="0" applyNumberFormat="1" applyFont="1" applyFill="1" applyBorder="1" applyAlignment="1" applyProtection="1">
      <alignment horizontal="right"/>
      <protection locked="0"/>
    </xf>
    <xf numFmtId="0" fontId="15" fillId="2" borderId="9" xfId="0" applyFont="1" applyFill="1" applyBorder="1" applyAlignment="1" applyProtection="1">
      <alignment horizontal="center"/>
      <protection locked="0"/>
    </xf>
    <xf numFmtId="0" fontId="15" fillId="6" borderId="9" xfId="0" applyFont="1" applyFill="1" applyBorder="1" applyProtection="1"/>
    <xf numFmtId="165" fontId="15" fillId="0" borderId="0" xfId="0" applyNumberFormat="1" applyFont="1" applyFill="1" applyBorder="1" applyProtection="1">
      <protection locked="0"/>
    </xf>
    <xf numFmtId="6" fontId="15" fillId="2" borderId="29" xfId="0" applyNumberFormat="1" applyFont="1" applyFill="1" applyBorder="1" applyProtection="1">
      <protection locked="0"/>
    </xf>
    <xf numFmtId="0" fontId="3"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9" fillId="0" borderId="0" xfId="0" applyFont="1" applyFill="1" applyBorder="1" applyAlignment="1" applyProtection="1">
      <protection locked="0"/>
    </xf>
    <xf numFmtId="0" fontId="9" fillId="0" borderId="0" xfId="0" applyFont="1" applyFill="1" applyAlignment="1" applyProtection="1">
      <protection locked="0"/>
    </xf>
    <xf numFmtId="0" fontId="3" fillId="0" borderId="0" xfId="0" applyFont="1" applyFill="1" applyAlignment="1" applyProtection="1">
      <protection locked="0"/>
    </xf>
    <xf numFmtId="0" fontId="3" fillId="0" borderId="0" xfId="0" applyFont="1" applyFill="1" applyProtection="1">
      <protection locked="0"/>
    </xf>
    <xf numFmtId="0" fontId="5" fillId="0" borderId="0" xfId="0" applyFont="1" applyFill="1" applyAlignment="1" applyProtection="1">
      <protection locked="0"/>
    </xf>
    <xf numFmtId="2" fontId="15" fillId="2" borderId="9" xfId="0" applyNumberFormat="1" applyFont="1" applyFill="1" applyBorder="1" applyProtection="1">
      <protection locked="0"/>
    </xf>
    <xf numFmtId="166" fontId="15" fillId="2" borderId="9" xfId="0" applyNumberFormat="1" applyFont="1" applyFill="1" applyBorder="1" applyProtection="1">
      <protection locked="0"/>
    </xf>
    <xf numFmtId="0" fontId="4" fillId="0" borderId="0" xfId="0" applyFont="1" applyProtection="1">
      <protection locked="0"/>
    </xf>
    <xf numFmtId="0" fontId="0" fillId="0" borderId="0" xfId="0" applyAlignment="1" applyProtection="1">
      <alignment horizontal="center" vertical="center"/>
      <protection locked="0"/>
    </xf>
    <xf numFmtId="0" fontId="9" fillId="0" borderId="0" xfId="0" applyFont="1" applyFill="1" applyAlignment="1" applyProtection="1">
      <alignment wrapText="1"/>
      <protection locked="0"/>
    </xf>
    <xf numFmtId="0" fontId="3" fillId="2" borderId="9"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0" fillId="0" borderId="0" xfId="0" applyFont="1" applyFill="1" applyAlignment="1" applyProtection="1">
      <alignment horizontal="center"/>
      <protection locked="0"/>
    </xf>
    <xf numFmtId="0" fontId="7" fillId="0" borderId="0" xfId="0" applyFont="1" applyFill="1" applyBorder="1" applyAlignment="1" applyProtection="1">
      <alignment vertical="center"/>
      <protection locked="0"/>
    </xf>
    <xf numFmtId="0" fontId="2" fillId="0" borderId="0" xfId="0" applyFont="1" applyAlignment="1" applyProtection="1">
      <alignment horizontal="center" vertical="center"/>
      <protection locked="0"/>
    </xf>
    <xf numFmtId="0" fontId="9" fillId="0" borderId="3" xfId="0" applyFont="1" applyFill="1" applyBorder="1" applyAlignment="1" applyProtection="1">
      <protection locked="0"/>
    </xf>
    <xf numFmtId="0" fontId="0" fillId="0" borderId="0" xfId="0" applyFill="1" applyAlignment="1" applyProtection="1">
      <protection locked="0"/>
    </xf>
    <xf numFmtId="0" fontId="11" fillId="0" borderId="0" xfId="0" applyFont="1" applyFill="1" applyAlignment="1" applyProtection="1">
      <protection locked="0"/>
    </xf>
    <xf numFmtId="0" fontId="11" fillId="0" borderId="0" xfId="0" applyFont="1" applyFill="1" applyAlignment="1" applyProtection="1">
      <alignment horizontal="right"/>
      <protection locked="0"/>
    </xf>
    <xf numFmtId="0" fontId="3" fillId="5" borderId="13" xfId="0" applyFont="1" applyFill="1" applyBorder="1" applyProtection="1">
      <protection locked="0"/>
    </xf>
    <xf numFmtId="0" fontId="0" fillId="5" borderId="8" xfId="0" applyFill="1" applyBorder="1" applyProtection="1">
      <protection locked="0"/>
    </xf>
    <xf numFmtId="0" fontId="0" fillId="5" borderId="14" xfId="0" applyFill="1" applyBorder="1" applyProtection="1">
      <protection locked="0"/>
    </xf>
    <xf numFmtId="164" fontId="0" fillId="5" borderId="14" xfId="0" applyNumberFormat="1" applyFill="1" applyBorder="1" applyProtection="1">
      <protection locked="0"/>
    </xf>
    <xf numFmtId="0" fontId="0" fillId="0" borderId="0" xfId="0" applyAlignment="1" applyProtection="1">
      <alignment horizontal="left" vertical="center"/>
      <protection locked="0"/>
    </xf>
    <xf numFmtId="6" fontId="15" fillId="2" borderId="9" xfId="0" applyNumberFormat="1" applyFont="1" applyFill="1" applyBorder="1" applyProtection="1">
      <protection locked="0"/>
    </xf>
    <xf numFmtId="0" fontId="11" fillId="0" borderId="0" xfId="0" applyFont="1" applyFill="1" applyBorder="1" applyAlignment="1" applyProtection="1">
      <alignment horizontal="right"/>
      <protection locked="0"/>
    </xf>
    <xf numFmtId="0" fontId="20" fillId="0" borderId="0" xfId="0" applyFont="1" applyFill="1" applyBorder="1" applyAlignment="1" applyProtection="1">
      <alignment horizontal="center"/>
      <protection locked="0"/>
    </xf>
    <xf numFmtId="6" fontId="15" fillId="0" borderId="0" xfId="0" applyNumberFormat="1" applyFont="1" applyFill="1" applyBorder="1" applyProtection="1">
      <protection locked="0"/>
    </xf>
    <xf numFmtId="6" fontId="15" fillId="6" borderId="1" xfId="0" applyNumberFormat="1" applyFont="1" applyFill="1" applyBorder="1" applyProtection="1"/>
    <xf numFmtId="6" fontId="16" fillId="6" borderId="9" xfId="0" applyNumberFormat="1" applyFont="1" applyFill="1" applyBorder="1" applyProtection="1"/>
    <xf numFmtId="6" fontId="15" fillId="8" borderId="15" xfId="0" applyNumberFormat="1" applyFont="1" applyFill="1" applyBorder="1" applyProtection="1"/>
    <xf numFmtId="6" fontId="16" fillId="6" borderId="18" xfId="0" applyNumberFormat="1" applyFont="1" applyFill="1" applyBorder="1" applyProtection="1"/>
    <xf numFmtId="6" fontId="16" fillId="6" borderId="9" xfId="0" applyNumberFormat="1" applyFont="1" applyFill="1" applyBorder="1" applyAlignment="1" applyProtection="1">
      <alignment horizontal="right" vertical="center"/>
    </xf>
    <xf numFmtId="6" fontId="15" fillId="6" borderId="9" xfId="0" applyNumberFormat="1" applyFont="1" applyFill="1" applyBorder="1" applyAlignment="1" applyProtection="1">
      <alignment horizontal="right"/>
    </xf>
    <xf numFmtId="6" fontId="16" fillId="6" borderId="12" xfId="0" applyNumberFormat="1" applyFont="1" applyFill="1" applyBorder="1" applyProtection="1"/>
    <xf numFmtId="6" fontId="15" fillId="6" borderId="9" xfId="0" applyNumberFormat="1" applyFont="1" applyFill="1" applyBorder="1" applyProtection="1"/>
    <xf numFmtId="6" fontId="15" fillId="6" borderId="29" xfId="0" applyNumberFormat="1" applyFont="1" applyFill="1" applyBorder="1" applyProtection="1"/>
    <xf numFmtId="6" fontId="15" fillId="8" borderId="1" xfId="0" applyNumberFormat="1" applyFont="1" applyFill="1" applyBorder="1" applyProtection="1"/>
    <xf numFmtId="0" fontId="2" fillId="0" borderId="0" xfId="0" applyFont="1" applyFill="1" applyAlignment="1" applyProtection="1">
      <alignment vertical="top" wrapText="1"/>
      <protection locked="0"/>
    </xf>
    <xf numFmtId="166" fontId="10"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3" fillId="0" borderId="0" xfId="0" applyFont="1" applyFill="1" applyBorder="1" applyAlignment="1" applyProtection="1">
      <protection locked="0"/>
    </xf>
    <xf numFmtId="0" fontId="9" fillId="0" borderId="0" xfId="0" applyFont="1" applyFill="1" applyAlignment="1" applyProtection="1">
      <alignment horizontal="left" vertical="center"/>
      <protection locked="0"/>
    </xf>
    <xf numFmtId="0" fontId="4" fillId="0" borderId="0" xfId="0" applyFont="1" applyFill="1" applyAlignment="1" applyProtection="1">
      <protection locked="0"/>
    </xf>
    <xf numFmtId="164" fontId="0" fillId="0" borderId="0" xfId="0" applyNumberFormat="1" applyProtection="1">
      <protection locked="0"/>
    </xf>
    <xf numFmtId="164" fontId="0" fillId="0" borderId="0" xfId="0" applyNumberFormat="1" applyBorder="1" applyProtection="1">
      <protection locked="0"/>
    </xf>
    <xf numFmtId="6" fontId="0" fillId="0" borderId="0" xfId="0" applyNumberFormat="1" applyFill="1" applyBorder="1" applyProtection="1">
      <protection locked="0"/>
    </xf>
    <xf numFmtId="165" fontId="0" fillId="0" borderId="0" xfId="0" applyNumberFormat="1" applyFill="1" applyBorder="1" applyAlignment="1" applyProtection="1">
      <alignment horizontal="centerContinuous"/>
      <protection locked="0"/>
    </xf>
    <xf numFmtId="6" fontId="15" fillId="2" borderId="9" xfId="0" applyNumberFormat="1" applyFont="1" applyFill="1" applyBorder="1" applyAlignment="1" applyProtection="1">
      <alignment horizontal="right" vertical="center"/>
      <protection locked="0"/>
    </xf>
    <xf numFmtId="164" fontId="0" fillId="0" borderId="0" xfId="0" applyNumberFormat="1" applyFill="1" applyProtection="1">
      <protection locked="0"/>
    </xf>
    <xf numFmtId="0" fontId="4" fillId="0" borderId="0" xfId="0" applyFont="1" applyFill="1" applyBorder="1" applyAlignment="1" applyProtection="1">
      <alignment horizontal="center" vertical="center"/>
      <protection locked="0"/>
    </xf>
    <xf numFmtId="3" fontId="0" fillId="0" borderId="0" xfId="0" applyNumberFormat="1" applyProtection="1">
      <protection locked="0"/>
    </xf>
    <xf numFmtId="6" fontId="15" fillId="6" borderId="15" xfId="0" applyNumberFormat="1" applyFont="1" applyFill="1" applyBorder="1" applyProtection="1"/>
    <xf numFmtId="6" fontId="16" fillId="6" borderId="26" xfId="0" applyNumberFormat="1" applyFont="1" applyFill="1" applyBorder="1" applyAlignment="1" applyProtection="1">
      <alignment horizontal="right" vertical="center"/>
    </xf>
    <xf numFmtId="6" fontId="16" fillId="6" borderId="17" xfId="0" applyNumberFormat="1" applyFont="1" applyFill="1" applyBorder="1" applyAlignment="1" applyProtection="1">
      <alignment horizontal="right" vertical="center"/>
    </xf>
    <xf numFmtId="0" fontId="0" fillId="0" borderId="0" xfId="0" applyAlignment="1" applyProtection="1">
      <alignment vertical="center"/>
      <protection locked="0"/>
    </xf>
    <xf numFmtId="0" fontId="3" fillId="5" borderId="1" xfId="0" applyFont="1" applyFill="1" applyBorder="1" applyProtection="1">
      <protection locked="0"/>
    </xf>
    <xf numFmtId="0" fontId="20" fillId="0" borderId="0" xfId="0" applyFont="1" applyFill="1" applyBorder="1" applyProtection="1">
      <protection locked="0"/>
    </xf>
    <xf numFmtId="0" fontId="20" fillId="0" borderId="0" xfId="0" applyFont="1" applyFill="1" applyBorder="1" applyAlignment="1" applyProtection="1">
      <alignment horizontal="right"/>
      <protection locked="0"/>
    </xf>
    <xf numFmtId="6" fontId="15" fillId="6" borderId="1" xfId="0" applyNumberFormat="1" applyFont="1" applyFill="1" applyBorder="1" applyProtection="1">
      <protection locked="0"/>
    </xf>
    <xf numFmtId="0" fontId="0" fillId="0" borderId="0" xfId="0" applyAlignment="1" applyProtection="1">
      <alignment horizontal="left"/>
      <protection locked="0"/>
    </xf>
    <xf numFmtId="0" fontId="9" fillId="3" borderId="3" xfId="0" applyFont="1" applyFill="1" applyBorder="1" applyAlignment="1" applyProtection="1">
      <alignment horizontal="left"/>
      <protection locked="0"/>
    </xf>
    <xf numFmtId="0" fontId="3" fillId="0" borderId="0" xfId="0" applyFont="1" applyAlignment="1" applyProtection="1">
      <alignment horizontal="left"/>
      <protection locked="0"/>
    </xf>
    <xf numFmtId="2" fontId="0" fillId="0" borderId="0" xfId="0" applyNumberFormat="1" applyFill="1" applyBorder="1" applyAlignment="1" applyProtection="1">
      <alignment horizontal="left"/>
      <protection locked="0"/>
    </xf>
    <xf numFmtId="0" fontId="0" fillId="0" borderId="0" xfId="0" applyFill="1" applyBorder="1" applyAlignment="1" applyProtection="1">
      <alignment horizontal="left"/>
      <protection locked="0"/>
    </xf>
    <xf numFmtId="0" fontId="3" fillId="0" borderId="0" xfId="0" applyFont="1" applyFill="1" applyAlignment="1" applyProtection="1">
      <alignment horizontal="left"/>
      <protection locked="0"/>
    </xf>
    <xf numFmtId="0" fontId="0" fillId="0" borderId="0" xfId="0" applyFill="1" applyAlignment="1" applyProtection="1">
      <alignment horizontal="left"/>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left" vertical="center"/>
      <protection locked="0"/>
    </xf>
    <xf numFmtId="38" fontId="15" fillId="2" borderId="9" xfId="0" applyNumberFormat="1" applyFont="1" applyFill="1" applyBorder="1" applyProtection="1">
      <protection locked="0"/>
    </xf>
    <xf numFmtId="6" fontId="15" fillId="2" borderId="9" xfId="0" applyNumberFormat="1" applyFont="1" applyFill="1" applyBorder="1" applyAlignment="1" applyProtection="1">
      <alignment horizontal="right"/>
      <protection locked="0"/>
    </xf>
    <xf numFmtId="38" fontId="15" fillId="6" borderId="9" xfId="0" applyNumberFormat="1" applyFont="1" applyFill="1" applyBorder="1" applyProtection="1"/>
    <xf numFmtId="167" fontId="15" fillId="6" borderId="9" xfId="0" applyNumberFormat="1" applyFont="1" applyFill="1" applyBorder="1" applyProtection="1"/>
    <xf numFmtId="38" fontId="16" fillId="6" borderId="9" xfId="0" applyNumberFormat="1" applyFont="1" applyFill="1" applyBorder="1" applyProtection="1"/>
    <xf numFmtId="0" fontId="23" fillId="0" borderId="0" xfId="0" applyFont="1" applyFill="1" applyAlignment="1" applyProtection="1">
      <alignment vertical="center"/>
      <protection locked="0"/>
    </xf>
    <xf numFmtId="0" fontId="6" fillId="0" borderId="0" xfId="0" applyFont="1" applyFill="1" applyAlignment="1" applyProtection="1">
      <alignment horizontal="left"/>
      <protection locked="0"/>
    </xf>
    <xf numFmtId="0" fontId="3" fillId="0" borderId="0" xfId="0" applyFont="1" applyFill="1" applyAlignment="1" applyProtection="1">
      <alignment vertical="top" wrapText="1"/>
      <protection locked="0"/>
    </xf>
    <xf numFmtId="0" fontId="0" fillId="0" borderId="0" xfId="0" applyAlignment="1" applyProtection="1">
      <protection locked="0"/>
    </xf>
    <xf numFmtId="0" fontId="3" fillId="0" borderId="0" xfId="0" applyFont="1" applyBorder="1" applyProtection="1">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0" borderId="16" xfId="0" applyFont="1" applyFill="1" applyBorder="1" applyAlignment="1" applyProtection="1">
      <alignment vertical="top"/>
      <protection locked="0"/>
    </xf>
    <xf numFmtId="0" fontId="3" fillId="0" borderId="0" xfId="0" applyFont="1" applyFill="1" applyAlignment="1" applyProtection="1">
      <alignment vertical="top"/>
      <protection locked="0"/>
    </xf>
    <xf numFmtId="0" fontId="3" fillId="0" borderId="16" xfId="0" applyFont="1" applyBorder="1" applyAlignment="1" applyProtection="1">
      <alignment vertical="top"/>
      <protection locked="0"/>
    </xf>
    <xf numFmtId="164" fontId="16" fillId="6" borderId="9" xfId="0" applyNumberFormat="1" applyFont="1" applyFill="1" applyBorder="1" applyAlignment="1" applyProtection="1">
      <alignment vertical="center"/>
    </xf>
    <xf numFmtId="164" fontId="16" fillId="6" borderId="9" xfId="0" applyNumberFormat="1" applyFont="1" applyFill="1" applyBorder="1" applyAlignment="1" applyProtection="1">
      <alignment horizontal="right" vertical="center"/>
    </xf>
    <xf numFmtId="49" fontId="1" fillId="2" borderId="9" xfId="0" applyNumberFormat="1" applyFont="1" applyFill="1" applyBorder="1" applyAlignment="1" applyProtection="1">
      <alignment horizontal="center" vertical="center"/>
      <protection locked="0"/>
    </xf>
    <xf numFmtId="49" fontId="15" fillId="2" borderId="9" xfId="0" applyNumberFormat="1" applyFont="1" applyFill="1" applyBorder="1" applyAlignment="1" applyProtection="1">
      <alignment horizontal="center" vertical="center"/>
      <protection locked="0"/>
    </xf>
    <xf numFmtId="6" fontId="16" fillId="6" borderId="1" xfId="0" applyNumberFormat="1" applyFont="1" applyFill="1" applyBorder="1" applyProtection="1"/>
    <xf numFmtId="6" fontId="16" fillId="6" borderId="13" xfId="0" applyNumberFormat="1" applyFont="1" applyFill="1" applyBorder="1" applyProtection="1"/>
    <xf numFmtId="6" fontId="16" fillId="6" borderId="30" xfId="0" applyNumberFormat="1" applyFont="1" applyFill="1" applyBorder="1" applyProtection="1"/>
    <xf numFmtId="6" fontId="16" fillId="6" borderId="11" xfId="0" applyNumberFormat="1" applyFont="1" applyFill="1" applyBorder="1" applyProtection="1"/>
    <xf numFmtId="6" fontId="15" fillId="6" borderId="17" xfId="0" applyNumberFormat="1" applyFont="1" applyFill="1" applyBorder="1" applyAlignment="1" applyProtection="1">
      <alignment horizontal="right" vertical="center"/>
    </xf>
    <xf numFmtId="164" fontId="15" fillId="6" borderId="9" xfId="0" applyNumberFormat="1" applyFont="1" applyFill="1" applyBorder="1" applyAlignment="1" applyProtection="1">
      <alignment vertical="center"/>
    </xf>
    <xf numFmtId="164" fontId="15" fillId="6" borderId="17" xfId="0" applyNumberFormat="1" applyFont="1" applyFill="1" applyBorder="1" applyAlignment="1" applyProtection="1">
      <alignment horizontal="right" vertical="center"/>
    </xf>
    <xf numFmtId="0" fontId="0" fillId="3" borderId="3" xfId="0" applyFill="1" applyBorder="1" applyProtection="1">
      <protection locked="0"/>
    </xf>
    <xf numFmtId="0" fontId="9" fillId="3" borderId="38" xfId="0" applyFont="1" applyFill="1" applyBorder="1" applyAlignment="1" applyProtection="1">
      <alignment horizontal="left"/>
      <protection locked="0"/>
    </xf>
    <xf numFmtId="164" fontId="15" fillId="3" borderId="4" xfId="0" applyNumberFormat="1" applyFont="1" applyFill="1" applyBorder="1" applyProtection="1">
      <protection locked="0"/>
    </xf>
    <xf numFmtId="0" fontId="5" fillId="3" borderId="4" xfId="0" applyFont="1" applyFill="1" applyBorder="1" applyAlignment="1" applyProtection="1">
      <alignment vertical="center"/>
      <protection locked="0"/>
    </xf>
    <xf numFmtId="0" fontId="3"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center"/>
      <protection locked="0"/>
    </xf>
    <xf numFmtId="6" fontId="16" fillId="0" borderId="0" xfId="0" applyNumberFormat="1" applyFont="1" applyFill="1" applyBorder="1" applyProtection="1">
      <protection locked="0"/>
    </xf>
    <xf numFmtId="0" fontId="3" fillId="5" borderId="42" xfId="0" applyFont="1" applyFill="1" applyBorder="1" applyAlignment="1" applyProtection="1">
      <alignment vertical="center"/>
      <protection locked="0"/>
    </xf>
    <xf numFmtId="0" fontId="23" fillId="0" borderId="0" xfId="0" applyFont="1" applyFill="1" applyAlignment="1" applyProtection="1">
      <alignment horizontal="center" vertical="center"/>
      <protection locked="0"/>
    </xf>
    <xf numFmtId="0" fontId="26"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vertical="center"/>
      <protection locked="0"/>
    </xf>
    <xf numFmtId="164" fontId="15" fillId="6" borderId="9" xfId="0" applyNumberFormat="1" applyFont="1" applyFill="1" applyBorder="1" applyProtection="1"/>
    <xf numFmtId="164" fontId="15" fillId="6" borderId="9" xfId="0" quotePrefix="1" applyNumberFormat="1" applyFont="1" applyFill="1" applyBorder="1" applyAlignment="1" applyProtection="1">
      <alignment horizontal="right" vertical="center"/>
    </xf>
    <xf numFmtId="0" fontId="5" fillId="0" borderId="0" xfId="0" applyFont="1" applyFill="1" applyAlignment="1" applyProtection="1">
      <alignment horizontal="right" vertical="center"/>
      <protection locked="0"/>
    </xf>
    <xf numFmtId="0" fontId="29" fillId="0" borderId="0" xfId="0" applyFont="1" applyFill="1" applyBorder="1" applyAlignment="1" applyProtection="1">
      <alignment vertical="center"/>
      <protection locked="0"/>
    </xf>
    <xf numFmtId="38" fontId="11" fillId="0" borderId="0" xfId="0" applyNumberFormat="1" applyFont="1" applyFill="1" applyBorder="1" applyAlignment="1" applyProtection="1">
      <alignment horizontal="right" vertical="center"/>
      <protection locked="0"/>
    </xf>
    <xf numFmtId="6" fontId="11" fillId="0" borderId="0" xfId="0" applyNumberFormat="1" applyFont="1" applyFill="1" applyBorder="1" applyAlignment="1" applyProtection="1">
      <alignment horizontal="right" vertical="center"/>
      <protection locked="0"/>
    </xf>
    <xf numFmtId="6" fontId="15" fillId="6" borderId="41" xfId="0" applyNumberFormat="1" applyFont="1" applyFill="1" applyBorder="1" applyProtection="1"/>
    <xf numFmtId="38" fontId="15" fillId="6" borderId="41" xfId="0" applyNumberFormat="1" applyFont="1" applyFill="1" applyBorder="1" applyProtection="1"/>
    <xf numFmtId="164" fontId="15" fillId="6" borderId="41" xfId="0" applyNumberFormat="1" applyFont="1" applyFill="1" applyBorder="1" applyProtection="1"/>
    <xf numFmtId="164" fontId="15" fillId="6" borderId="21" xfId="0" applyNumberFormat="1" applyFont="1" applyFill="1" applyBorder="1" applyProtection="1"/>
    <xf numFmtId="6" fontId="15" fillId="6" borderId="25" xfId="0" applyNumberFormat="1" applyFont="1" applyFill="1" applyBorder="1" applyProtection="1"/>
    <xf numFmtId="6" fontId="16" fillId="6" borderId="39" xfId="0" applyNumberFormat="1" applyFont="1" applyFill="1" applyBorder="1" applyProtection="1"/>
    <xf numFmtId="6" fontId="16" fillId="6" borderId="20" xfId="0" applyNumberFormat="1" applyFont="1" applyFill="1" applyBorder="1" applyProtection="1"/>
    <xf numFmtId="0" fontId="3" fillId="0" borderId="0" xfId="0" quotePrefix="1" applyFont="1" applyFill="1" applyBorder="1" applyAlignment="1" applyProtection="1">
      <alignment horizontal="left" vertical="center"/>
      <protection locked="0"/>
    </xf>
    <xf numFmtId="3" fontId="9" fillId="3" borderId="3" xfId="0" applyNumberFormat="1" applyFont="1" applyFill="1" applyBorder="1" applyAlignment="1" applyProtection="1">
      <alignment horizontal="left"/>
      <protection locked="0"/>
    </xf>
    <xf numFmtId="3" fontId="9" fillId="3" borderId="0" xfId="0" applyNumberFormat="1" applyFont="1" applyFill="1" applyBorder="1" applyAlignment="1" applyProtection="1">
      <alignment horizontal="left"/>
      <protection locked="0"/>
    </xf>
    <xf numFmtId="2" fontId="9" fillId="0" borderId="0" xfId="0" applyNumberFormat="1" applyFont="1" applyFill="1" applyBorder="1" applyAlignment="1" applyProtection="1">
      <protection locked="0"/>
    </xf>
    <xf numFmtId="165" fontId="9" fillId="0" borderId="0" xfId="0" applyNumberFormat="1" applyFont="1" applyFill="1" applyBorder="1" applyAlignment="1" applyProtection="1">
      <protection locked="0"/>
    </xf>
    <xf numFmtId="0" fontId="4" fillId="0" borderId="0" xfId="0" applyFont="1" applyFill="1" applyBorder="1" applyAlignment="1" applyProtection="1">
      <alignment vertical="center"/>
      <protection locked="0"/>
    </xf>
    <xf numFmtId="0" fontId="31" fillId="0" borderId="0" xfId="1" applyFill="1" applyBorder="1" applyAlignment="1" applyProtection="1">
      <alignment vertical="center"/>
      <protection locked="0"/>
    </xf>
    <xf numFmtId="0" fontId="30" fillId="0" borderId="0" xfId="0" applyFont="1" applyFill="1" applyBorder="1" applyAlignment="1" applyProtection="1">
      <alignment vertical="top" wrapText="1"/>
      <protection locked="0"/>
    </xf>
    <xf numFmtId="0" fontId="11" fillId="0" borderId="0" xfId="0" applyFont="1" applyFill="1" applyBorder="1" applyAlignment="1" applyProtection="1">
      <protection locked="0"/>
    </xf>
    <xf numFmtId="166" fontId="29" fillId="2" borderId="9" xfId="0" applyNumberFormat="1" applyFont="1" applyFill="1" applyBorder="1" applyAlignment="1" applyProtection="1">
      <alignment horizontal="center" vertical="center"/>
      <protection locked="0"/>
    </xf>
    <xf numFmtId="165" fontId="15" fillId="3" borderId="0" xfId="0" applyNumberFormat="1" applyFont="1" applyFill="1" applyBorder="1" applyAlignment="1" applyProtection="1">
      <alignment horizontal="right"/>
      <protection locked="0"/>
    </xf>
    <xf numFmtId="0" fontId="3" fillId="0" borderId="0" xfId="0" quotePrefix="1" applyFont="1" applyAlignment="1" applyProtection="1">
      <alignment horizontal="left"/>
      <protection locked="0"/>
    </xf>
    <xf numFmtId="0" fontId="3" fillId="5" borderId="40" xfId="0" applyFont="1" applyFill="1" applyBorder="1" applyAlignment="1" applyProtection="1">
      <alignment horizontal="left" vertical="center"/>
    </xf>
    <xf numFmtId="0" fontId="3" fillId="5" borderId="24" xfId="0" applyFont="1" applyFill="1" applyBorder="1" applyAlignment="1" applyProtection="1">
      <alignment horizontal="left" vertical="center"/>
    </xf>
    <xf numFmtId="0" fontId="5" fillId="5" borderId="19" xfId="0" applyFont="1" applyFill="1" applyBorder="1" applyAlignment="1" applyProtection="1">
      <alignment horizontal="center"/>
    </xf>
    <xf numFmtId="0" fontId="3" fillId="5" borderId="1" xfId="0" applyFont="1" applyFill="1" applyBorder="1" applyAlignment="1" applyProtection="1">
      <alignment horizontal="center" vertical="center"/>
    </xf>
    <xf numFmtId="0" fontId="11" fillId="5" borderId="41" xfId="0" applyFont="1" applyFill="1" applyBorder="1" applyAlignment="1" applyProtection="1">
      <alignment horizontal="center" vertical="center"/>
    </xf>
    <xf numFmtId="0" fontId="6" fillId="4" borderId="0" xfId="0" applyNumberFormat="1" applyFont="1" applyFill="1" applyBorder="1" applyAlignment="1" applyProtection="1">
      <alignment vertical="center"/>
    </xf>
    <xf numFmtId="0" fontId="5" fillId="5" borderId="0" xfId="0" applyFont="1" applyFill="1" applyAlignment="1" applyProtection="1">
      <alignment horizontal="right" vertical="center"/>
    </xf>
    <xf numFmtId="3" fontId="9" fillId="3" borderId="0" xfId="0" applyNumberFormat="1" applyFont="1" applyFill="1" applyBorder="1" applyAlignment="1" applyProtection="1">
      <alignment horizontal="left"/>
    </xf>
    <xf numFmtId="0" fontId="3" fillId="7" borderId="1" xfId="0" applyFont="1" applyFill="1" applyBorder="1" applyAlignment="1" applyProtection="1">
      <alignment horizontal="center"/>
    </xf>
    <xf numFmtId="1" fontId="3" fillId="5" borderId="13" xfId="0" applyNumberFormat="1" applyFont="1" applyFill="1" applyBorder="1" applyAlignment="1" applyProtection="1">
      <alignment horizontal="center"/>
    </xf>
    <xf numFmtId="1" fontId="0" fillId="5" borderId="13" xfId="0" applyNumberFormat="1" applyFill="1" applyBorder="1" applyAlignment="1" applyProtection="1">
      <alignment horizontal="center"/>
    </xf>
    <xf numFmtId="0" fontId="3" fillId="5" borderId="18" xfId="0" applyFont="1" applyFill="1" applyBorder="1" applyAlignment="1" applyProtection="1">
      <alignment horizontal="center"/>
    </xf>
    <xf numFmtId="0" fontId="11" fillId="4" borderId="10" xfId="0" applyFont="1" applyFill="1" applyBorder="1" applyAlignment="1" applyProtection="1">
      <alignment horizontal="center"/>
    </xf>
    <xf numFmtId="0" fontId="22" fillId="4" borderId="0" xfId="0" applyNumberFormat="1" applyFont="1" applyFill="1" applyBorder="1" applyAlignment="1" applyProtection="1">
      <alignment vertical="center"/>
    </xf>
    <xf numFmtId="0" fontId="3" fillId="4" borderId="0" xfId="0" applyFont="1" applyFill="1" applyAlignment="1" applyProtection="1">
      <alignment horizontal="center" vertical="center"/>
    </xf>
    <xf numFmtId="0" fontId="9" fillId="3" borderId="0" xfId="0" applyFont="1" applyFill="1" applyAlignment="1" applyProtection="1">
      <alignment horizontal="center"/>
    </xf>
    <xf numFmtId="0" fontId="5" fillId="5" borderId="4" xfId="0" applyFont="1" applyFill="1" applyBorder="1" applyAlignment="1" applyProtection="1">
      <alignment horizontal="right"/>
    </xf>
    <xf numFmtId="0" fontId="5" fillId="5" borderId="0" xfId="0" applyFont="1" applyFill="1" applyBorder="1" applyAlignment="1" applyProtection="1">
      <alignment horizontal="right"/>
    </xf>
    <xf numFmtId="164" fontId="0" fillId="5" borderId="28" xfId="0" applyNumberFormat="1" applyFill="1" applyBorder="1" applyProtection="1"/>
    <xf numFmtId="0" fontId="3" fillId="5" borderId="27" xfId="0" applyFont="1" applyFill="1" applyBorder="1" applyProtection="1"/>
    <xf numFmtId="164" fontId="0" fillId="5" borderId="14" xfId="0" applyNumberFormat="1" applyFill="1" applyBorder="1" applyProtection="1"/>
    <xf numFmtId="0" fontId="3" fillId="5" borderId="13" xfId="0" applyFont="1" applyFill="1" applyBorder="1" applyProtection="1"/>
    <xf numFmtId="0" fontId="3" fillId="5" borderId="13" xfId="0" applyFont="1" applyFill="1" applyBorder="1" applyAlignment="1" applyProtection="1"/>
    <xf numFmtId="0" fontId="3" fillId="5" borderId="14" xfId="0" applyFont="1" applyFill="1" applyBorder="1" applyAlignment="1" applyProtection="1"/>
    <xf numFmtId="0" fontId="0" fillId="5" borderId="8" xfId="0" applyFill="1" applyBorder="1" applyProtection="1"/>
    <xf numFmtId="0" fontId="0" fillId="5" borderId="14" xfId="0" applyFill="1" applyBorder="1" applyProtection="1"/>
    <xf numFmtId="0" fontId="11" fillId="4" borderId="2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0" fillId="4" borderId="9" xfId="0" applyFill="1" applyBorder="1" applyAlignment="1" applyProtection="1">
      <alignment horizontal="center"/>
    </xf>
    <xf numFmtId="164" fontId="0" fillId="5" borderId="8" xfId="0" applyNumberFormat="1" applyFill="1" applyBorder="1" applyProtection="1"/>
    <xf numFmtId="0" fontId="3" fillId="5" borderId="8" xfId="0" applyFont="1" applyFill="1" applyBorder="1" applyProtection="1"/>
    <xf numFmtId="0" fontId="19" fillId="4" borderId="0" xfId="0" applyNumberFormat="1" applyFont="1" applyFill="1" applyBorder="1" applyAlignment="1" applyProtection="1">
      <alignment horizontal="center" vertical="center"/>
    </xf>
    <xf numFmtId="0" fontId="0" fillId="5" borderId="13" xfId="0" applyFill="1" applyBorder="1" applyProtection="1"/>
    <xf numFmtId="0" fontId="9" fillId="3" borderId="0" xfId="0" applyFont="1" applyFill="1" applyBorder="1" applyAlignment="1" applyProtection="1">
      <alignment horizontal="right"/>
    </xf>
    <xf numFmtId="0" fontId="24" fillId="5" borderId="9" xfId="0" applyFont="1" applyFill="1" applyBorder="1" applyAlignment="1" applyProtection="1">
      <alignment horizontal="center" vertical="center"/>
    </xf>
    <xf numFmtId="0" fontId="5" fillId="4" borderId="0" xfId="0" applyFont="1" applyFill="1" applyAlignment="1" applyProtection="1">
      <alignment horizontal="center" vertical="center"/>
    </xf>
    <xf numFmtId="0" fontId="3" fillId="5" borderId="1" xfId="0" applyFont="1" applyFill="1" applyBorder="1" applyProtection="1"/>
    <xf numFmtId="0" fontId="5" fillId="5" borderId="1" xfId="0" applyFont="1" applyFill="1" applyBorder="1" applyAlignment="1" applyProtection="1">
      <alignment horizontal="right"/>
    </xf>
    <xf numFmtId="0" fontId="5" fillId="4" borderId="1" xfId="0" applyFont="1" applyFill="1" applyBorder="1" applyAlignment="1" applyProtection="1">
      <alignment horizontal="right"/>
    </xf>
    <xf numFmtId="0" fontId="11" fillId="4" borderId="13" xfId="0" applyFont="1" applyFill="1" applyBorder="1" applyAlignment="1" applyProtection="1">
      <alignment horizontal="left" vertical="center"/>
    </xf>
    <xf numFmtId="0" fontId="0" fillId="4" borderId="13" xfId="0" applyFill="1" applyBorder="1" applyProtection="1"/>
    <xf numFmtId="0" fontId="13" fillId="4" borderId="13" xfId="0" applyFont="1" applyFill="1" applyBorder="1" applyAlignment="1" applyProtection="1">
      <alignment horizontal="right" vertical="center"/>
    </xf>
    <xf numFmtId="0" fontId="11" fillId="4" borderId="9" xfId="0" applyFont="1" applyFill="1" applyBorder="1" applyAlignment="1" applyProtection="1">
      <alignment horizontal="center" vertical="center"/>
    </xf>
    <xf numFmtId="0" fontId="11" fillId="4" borderId="31" xfId="0" applyFont="1" applyFill="1" applyBorder="1" applyAlignment="1" applyProtection="1">
      <alignment horizontal="center" vertical="center"/>
    </xf>
    <xf numFmtId="0" fontId="11" fillId="4" borderId="32" xfId="0" applyFont="1" applyFill="1" applyBorder="1" applyAlignment="1" applyProtection="1">
      <alignment horizontal="center" vertical="center"/>
    </xf>
    <xf numFmtId="0" fontId="11" fillId="4" borderId="33" xfId="0" applyFont="1" applyFill="1" applyBorder="1" applyAlignment="1" applyProtection="1">
      <alignment horizontal="center" vertical="center"/>
    </xf>
    <xf numFmtId="6" fontId="15" fillId="6" borderId="9" xfId="0" applyNumberFormat="1" applyFont="1" applyFill="1" applyBorder="1" applyAlignment="1" applyProtection="1">
      <alignment horizontal="right" vertical="center"/>
    </xf>
    <xf numFmtId="6" fontId="15" fillId="6" borderId="11" xfId="0" applyNumberFormat="1" applyFont="1" applyFill="1" applyBorder="1" applyAlignment="1" applyProtection="1">
      <alignment horizontal="right" vertical="center"/>
    </xf>
    <xf numFmtId="6" fontId="15" fillId="6" borderId="26" xfId="0" applyNumberFormat="1" applyFont="1" applyFill="1" applyBorder="1" applyAlignment="1" applyProtection="1">
      <alignment horizontal="right" vertical="center"/>
    </xf>
    <xf numFmtId="6" fontId="16" fillId="6" borderId="11" xfId="0" applyNumberFormat="1" applyFont="1" applyFill="1" applyBorder="1" applyAlignment="1" applyProtection="1">
      <alignment horizontal="right" vertical="center"/>
    </xf>
    <xf numFmtId="0" fontId="9" fillId="0" borderId="0" xfId="0" applyFont="1" applyFill="1" applyAlignment="1" applyProtection="1">
      <alignment horizontal="left"/>
    </xf>
    <xf numFmtId="0" fontId="9" fillId="0" borderId="0" xfId="0" applyFont="1" applyFill="1" applyBorder="1" applyAlignment="1" applyProtection="1">
      <alignment horizontal="left"/>
    </xf>
    <xf numFmtId="0" fontId="11" fillId="10" borderId="48" xfId="0" applyFont="1" applyFill="1" applyBorder="1" applyAlignment="1" applyProtection="1">
      <alignment horizontal="left" wrapText="1" indent="3"/>
    </xf>
    <xf numFmtId="0" fontId="11" fillId="10" borderId="48" xfId="0" applyFont="1" applyFill="1" applyBorder="1" applyAlignment="1" applyProtection="1">
      <alignment horizontal="left" wrapText="1" indent="2"/>
    </xf>
    <xf numFmtId="0" fontId="34" fillId="10" borderId="0" xfId="0" applyFont="1" applyFill="1" applyBorder="1" applyAlignment="1" applyProtection="1">
      <alignment horizontal="right" wrapText="1"/>
    </xf>
    <xf numFmtId="0" fontId="34" fillId="10" borderId="0" xfId="0" applyFont="1" applyFill="1" applyBorder="1" applyAlignment="1" applyProtection="1">
      <alignment horizontal="left" wrapText="1"/>
    </xf>
    <xf numFmtId="44" fontId="35" fillId="13" borderId="54" xfId="2" applyFont="1" applyFill="1" applyBorder="1" applyAlignment="1" applyProtection="1">
      <alignment horizontal="right"/>
      <protection locked="0"/>
    </xf>
    <xf numFmtId="14" fontId="35" fillId="13" borderId="54" xfId="0" applyNumberFormat="1" applyFont="1" applyFill="1" applyBorder="1" applyAlignment="1" applyProtection="1">
      <alignment horizontal="right"/>
      <protection locked="0"/>
    </xf>
    <xf numFmtId="169" fontId="35" fillId="13" borderId="54" xfId="0" applyNumberFormat="1" applyFont="1" applyFill="1" applyBorder="1" applyAlignment="1" applyProtection="1">
      <alignment horizontal="right"/>
      <protection locked="0"/>
    </xf>
    <xf numFmtId="170" fontId="35" fillId="13" borderId="54" xfId="0" applyNumberFormat="1" applyFont="1" applyFill="1" applyBorder="1" applyAlignment="1" applyProtection="1">
      <alignment horizontal="right"/>
      <protection locked="0"/>
    </xf>
    <xf numFmtId="44" fontId="35" fillId="13" borderId="56" xfId="2" applyFont="1" applyFill="1" applyBorder="1" applyAlignment="1" applyProtection="1">
      <alignment horizontal="right"/>
      <protection locked="0"/>
    </xf>
    <xf numFmtId="0" fontId="35" fillId="10" borderId="0" xfId="0" applyFont="1" applyFill="1" applyBorder="1" applyAlignment="1" applyProtection="1">
      <alignment horizontal="left"/>
    </xf>
    <xf numFmtId="0" fontId="3" fillId="0" borderId="0" xfId="0" applyFont="1" applyBorder="1" applyProtection="1"/>
    <xf numFmtId="0" fontId="35" fillId="10" borderId="48" xfId="0" applyFont="1" applyFill="1" applyBorder="1" applyAlignment="1" applyProtection="1">
      <alignment horizontal="left"/>
    </xf>
    <xf numFmtId="0" fontId="35" fillId="10" borderId="48" xfId="0" applyFont="1" applyFill="1" applyBorder="1" applyProtection="1"/>
    <xf numFmtId="0" fontId="35" fillId="10" borderId="0" xfId="0" applyFont="1" applyFill="1" applyBorder="1" applyProtection="1"/>
    <xf numFmtId="0" fontId="34" fillId="10" borderId="0" xfId="0" applyFont="1" applyFill="1" applyBorder="1" applyAlignment="1" applyProtection="1">
      <alignment horizontal="center"/>
    </xf>
    <xf numFmtId="0" fontId="3" fillId="11" borderId="43" xfId="0" applyFont="1" applyFill="1" applyBorder="1" applyAlignment="1" applyProtection="1">
      <alignment horizontal="center" vertical="center"/>
    </xf>
    <xf numFmtId="0" fontId="3" fillId="11" borderId="29" xfId="0" applyFont="1" applyFill="1" applyBorder="1" applyAlignment="1" applyProtection="1">
      <alignment horizontal="center" vertical="center"/>
    </xf>
    <xf numFmtId="0" fontId="3" fillId="11" borderId="53" xfId="0" applyFont="1" applyFill="1" applyBorder="1" applyAlignment="1" applyProtection="1">
      <alignment horizontal="center" vertical="center"/>
    </xf>
    <xf numFmtId="0" fontId="36" fillId="10" borderId="57" xfId="0" applyFont="1" applyFill="1" applyBorder="1" applyAlignment="1" applyProtection="1">
      <alignment horizontal="left"/>
    </xf>
    <xf numFmtId="0" fontId="36" fillId="10" borderId="0" xfId="0" applyFont="1" applyFill="1" applyBorder="1" applyAlignment="1" applyProtection="1">
      <alignment horizontal="right"/>
    </xf>
    <xf numFmtId="44" fontId="35" fillId="13" borderId="56" xfId="2" applyFont="1" applyFill="1" applyBorder="1" applyAlignment="1" applyProtection="1">
      <alignment horizontal="right"/>
    </xf>
    <xf numFmtId="44" fontId="35" fillId="10" borderId="0" xfId="2" applyFont="1" applyFill="1" applyBorder="1" applyAlignment="1" applyProtection="1">
      <alignment horizontal="right"/>
    </xf>
    <xf numFmtId="6" fontId="3" fillId="5" borderId="40" xfId="0" applyNumberFormat="1" applyFont="1" applyFill="1" applyBorder="1" applyProtection="1"/>
    <xf numFmtId="6" fontId="3" fillId="0" borderId="1" xfId="0" applyNumberFormat="1" applyFont="1" applyBorder="1" applyProtection="1"/>
    <xf numFmtId="6" fontId="3" fillId="0" borderId="41" xfId="0" applyNumberFormat="1" applyFont="1" applyBorder="1" applyProtection="1"/>
    <xf numFmtId="169" fontId="35" fillId="13" borderId="54" xfId="0" applyNumberFormat="1" applyFont="1" applyFill="1" applyBorder="1" applyAlignment="1" applyProtection="1">
      <alignment horizontal="right"/>
    </xf>
    <xf numFmtId="169" fontId="35" fillId="10" borderId="0" xfId="0" applyNumberFormat="1" applyFont="1" applyFill="1" applyBorder="1" applyAlignment="1" applyProtection="1">
      <alignment horizontal="right"/>
    </xf>
    <xf numFmtId="0" fontId="35" fillId="10" borderId="0" xfId="0" applyNumberFormat="1" applyFont="1" applyFill="1" applyBorder="1" applyAlignment="1" applyProtection="1">
      <alignment horizontal="left"/>
    </xf>
    <xf numFmtId="0" fontId="37" fillId="9" borderId="0" xfId="0" applyNumberFormat="1" applyFont="1" applyFill="1" applyBorder="1" applyAlignment="1" applyProtection="1">
      <alignment horizontal="center"/>
    </xf>
    <xf numFmtId="6" fontId="3" fillId="9" borderId="24" xfId="0" applyNumberFormat="1" applyFont="1" applyFill="1" applyBorder="1" applyProtection="1"/>
    <xf numFmtId="6" fontId="3" fillId="7" borderId="15" xfId="0" applyNumberFormat="1" applyFont="1" applyFill="1" applyBorder="1" applyProtection="1"/>
    <xf numFmtId="6" fontId="3" fillId="7" borderId="25" xfId="0" applyNumberFormat="1" applyFont="1" applyFill="1" applyBorder="1" applyProtection="1"/>
    <xf numFmtId="0" fontId="36" fillId="10" borderId="55" xfId="0" applyFont="1" applyFill="1" applyBorder="1" applyAlignment="1" applyProtection="1">
      <alignment horizontal="left"/>
    </xf>
    <xf numFmtId="0" fontId="36" fillId="10" borderId="48" xfId="0" applyFont="1" applyFill="1" applyBorder="1" applyAlignment="1" applyProtection="1">
      <alignment horizontal="right"/>
    </xf>
    <xf numFmtId="6" fontId="3" fillId="5" borderId="43" xfId="0" applyNumberFormat="1" applyFont="1" applyFill="1" applyBorder="1" applyProtection="1"/>
    <xf numFmtId="6" fontId="3" fillId="0" borderId="29" xfId="0" applyNumberFormat="1" applyFont="1" applyBorder="1" applyProtection="1"/>
    <xf numFmtId="6" fontId="3" fillId="0" borderId="53" xfId="0" applyNumberFormat="1" applyFont="1" applyBorder="1" applyProtection="1"/>
    <xf numFmtId="0" fontId="34" fillId="10" borderId="0" xfId="0" applyFont="1" applyFill="1" applyBorder="1" applyAlignment="1" applyProtection="1">
      <alignment horizontal="right"/>
    </xf>
    <xf numFmtId="0" fontId="35" fillId="10" borderId="0" xfId="0" applyFont="1" applyFill="1" applyProtection="1"/>
    <xf numFmtId="0" fontId="35" fillId="10" borderId="50" xfId="0" applyFont="1" applyFill="1" applyBorder="1" applyAlignment="1" applyProtection="1">
      <alignment horizontal="left"/>
    </xf>
    <xf numFmtId="0" fontId="37" fillId="9" borderId="0" xfId="0" applyFont="1" applyFill="1" applyBorder="1" applyAlignment="1" applyProtection="1">
      <alignment horizontal="center"/>
    </xf>
    <xf numFmtId="6" fontId="3" fillId="9" borderId="44" xfId="0" applyNumberFormat="1" applyFont="1" applyFill="1" applyBorder="1" applyProtection="1"/>
    <xf numFmtId="6" fontId="3" fillId="7" borderId="45" xfId="0" applyNumberFormat="1" applyFont="1" applyFill="1" applyBorder="1" applyProtection="1"/>
    <xf numFmtId="6" fontId="3" fillId="7" borderId="49" xfId="0" applyNumberFormat="1" applyFont="1" applyFill="1" applyBorder="1" applyProtection="1"/>
    <xf numFmtId="0" fontId="36" fillId="10" borderId="48" xfId="0" applyFont="1" applyFill="1" applyBorder="1" applyProtection="1"/>
    <xf numFmtId="0" fontId="3" fillId="0" borderId="0" xfId="0" applyFont="1" applyBorder="1" applyAlignment="1" applyProtection="1">
      <alignment wrapText="1"/>
    </xf>
    <xf numFmtId="0" fontId="0" fillId="10" borderId="48" xfId="0" applyFill="1" applyBorder="1" applyAlignment="1" applyProtection="1">
      <alignment horizontal="left"/>
    </xf>
    <xf numFmtId="0" fontId="33" fillId="10" borderId="0" xfId="0" applyFont="1" applyFill="1" applyBorder="1" applyAlignment="1" applyProtection="1"/>
    <xf numFmtId="14" fontId="33" fillId="10" borderId="0" xfId="0" applyNumberFormat="1" applyFont="1" applyFill="1" applyBorder="1" applyAlignment="1" applyProtection="1">
      <alignment horizontal="right"/>
    </xf>
    <xf numFmtId="44" fontId="33" fillId="10" borderId="0" xfId="2" applyFont="1" applyFill="1" applyBorder="1" applyAlignment="1" applyProtection="1">
      <alignment horizontal="right"/>
    </xf>
    <xf numFmtId="39" fontId="33" fillId="10" borderId="0" xfId="2" applyNumberFormat="1" applyFont="1" applyFill="1" applyBorder="1" applyAlignment="1" applyProtection="1">
      <alignment horizontal="right"/>
    </xf>
    <xf numFmtId="43" fontId="33" fillId="10" borderId="0" xfId="2" applyNumberFormat="1" applyFont="1" applyFill="1" applyBorder="1" applyAlignment="1" applyProtection="1">
      <alignment horizontal="right"/>
    </xf>
    <xf numFmtId="168" fontId="3" fillId="5" borderId="1" xfId="0" applyNumberFormat="1" applyFont="1" applyFill="1" applyBorder="1" applyAlignment="1" applyProtection="1">
      <alignment horizontal="center" vertical="center"/>
    </xf>
    <xf numFmtId="168" fontId="3" fillId="5" borderId="41" xfId="0" applyNumberFormat="1" applyFont="1" applyFill="1" applyBorder="1" applyAlignment="1" applyProtection="1">
      <alignment horizontal="center" vertical="center"/>
    </xf>
    <xf numFmtId="0" fontId="3" fillId="0" borderId="1" xfId="0" applyFont="1" applyBorder="1" applyProtection="1"/>
    <xf numFmtId="0" fontId="3" fillId="0" borderId="41" xfId="0" applyFont="1" applyBorder="1" applyProtection="1"/>
    <xf numFmtId="9" fontId="3" fillId="0" borderId="0" xfId="0" applyNumberFormat="1" applyFont="1" applyBorder="1" applyProtection="1"/>
    <xf numFmtId="6" fontId="3" fillId="0" borderId="0" xfId="0" applyNumberFormat="1" applyFont="1" applyBorder="1" applyProtection="1"/>
    <xf numFmtId="6" fontId="3" fillId="5" borderId="44" xfId="0" applyNumberFormat="1" applyFont="1" applyFill="1" applyBorder="1" applyProtection="1"/>
    <xf numFmtId="0" fontId="3" fillId="0" borderId="45" xfId="0" applyFont="1" applyBorder="1" applyProtection="1"/>
    <xf numFmtId="0" fontId="3" fillId="0" borderId="45" xfId="0" applyFont="1" applyFill="1" applyBorder="1" applyProtection="1"/>
    <xf numFmtId="0" fontId="3" fillId="0" borderId="49" xfId="0" applyFont="1" applyBorder="1" applyProtection="1"/>
    <xf numFmtId="6" fontId="3" fillId="0" borderId="0" xfId="0" applyNumberFormat="1" applyFont="1" applyFill="1" applyBorder="1" applyProtection="1"/>
    <xf numFmtId="0" fontId="3" fillId="0" borderId="0" xfId="0" applyFont="1" applyFill="1" applyBorder="1" applyProtection="1"/>
    <xf numFmtId="0" fontId="33" fillId="10" borderId="0" xfId="0" applyFont="1" applyFill="1" applyBorder="1" applyAlignment="1" applyProtection="1">
      <alignment horizontal="left"/>
    </xf>
    <xf numFmtId="0" fontId="3" fillId="0" borderId="0" xfId="0" applyFont="1" applyAlignment="1" applyProtection="1">
      <alignment horizontal="left"/>
    </xf>
    <xf numFmtId="0" fontId="3" fillId="0" borderId="0" xfId="0" applyFo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9" fillId="0" borderId="0" xfId="0" applyFont="1" applyFill="1" applyAlignment="1" applyProtection="1">
      <alignment horizontal="center"/>
      <protection locked="0"/>
    </xf>
    <xf numFmtId="0" fontId="0" fillId="2" borderId="9" xfId="0" applyFill="1" applyBorder="1" applyAlignment="1" applyProtection="1">
      <alignment horizontal="center"/>
      <protection locked="0"/>
    </xf>
    <xf numFmtId="166" fontId="0" fillId="2" borderId="9" xfId="0" applyNumberForma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11" fillId="5" borderId="1" xfId="0" applyFont="1" applyFill="1" applyBorder="1" applyAlignment="1" applyProtection="1">
      <alignment horizontal="right"/>
    </xf>
    <xf numFmtId="0" fontId="9" fillId="0" borderId="0" xfId="0" applyFont="1" applyFill="1" applyBorder="1" applyAlignment="1" applyProtection="1"/>
    <xf numFmtId="166" fontId="17" fillId="2" borderId="1" xfId="0" applyNumberFormat="1" applyFont="1" applyFill="1" applyBorder="1" applyAlignment="1" applyProtection="1">
      <alignment horizontal="center" vertical="center"/>
      <protection locked="0"/>
    </xf>
    <xf numFmtId="0" fontId="0" fillId="8" borderId="1" xfId="0" applyFill="1" applyBorder="1" applyAlignment="1">
      <alignment horizontal="center"/>
    </xf>
    <xf numFmtId="6" fontId="0" fillId="2" borderId="1" xfId="0" applyNumberFormat="1" applyFill="1" applyBorder="1" applyProtection="1">
      <protection locked="0"/>
    </xf>
    <xf numFmtId="6" fontId="0" fillId="15" borderId="1" xfId="0" applyNumberFormat="1" applyFill="1" applyBorder="1" applyProtection="1"/>
    <xf numFmtId="6" fontId="0" fillId="8" borderId="1" xfId="0" applyNumberFormat="1" applyFill="1" applyBorder="1" applyProtection="1"/>
    <xf numFmtId="6" fontId="0" fillId="6" borderId="1" xfId="0" applyNumberFormat="1" applyFill="1" applyBorder="1" applyProtection="1"/>
    <xf numFmtId="6" fontId="0" fillId="8" borderId="1" xfId="0" applyNumberFormat="1" applyFill="1" applyBorder="1"/>
    <xf numFmtId="6" fontId="0" fillId="8" borderId="1" xfId="0" applyNumberFormat="1" applyFill="1" applyBorder="1" applyProtection="1">
      <protection locked="0"/>
    </xf>
    <xf numFmtId="6" fontId="0" fillId="15" borderId="1" xfId="0" applyNumberFormat="1" applyFill="1" applyBorder="1"/>
    <xf numFmtId="38" fontId="0" fillId="8" borderId="1" xfId="0" applyNumberFormat="1" applyFill="1" applyBorder="1"/>
    <xf numFmtId="0" fontId="0" fillId="8" borderId="0" xfId="0" applyFill="1"/>
    <xf numFmtId="6" fontId="15" fillId="6" borderId="13" xfId="0" applyNumberFormat="1" applyFont="1" applyFill="1" applyBorder="1" applyProtection="1"/>
    <xf numFmtId="6" fontId="15" fillId="6" borderId="18" xfId="0" applyNumberFormat="1" applyFont="1" applyFill="1" applyBorder="1" applyProtection="1"/>
    <xf numFmtId="6" fontId="40" fillId="6" borderId="1" xfId="0" applyNumberFormat="1" applyFont="1" applyFill="1" applyBorder="1" applyAlignment="1" applyProtection="1">
      <alignment vertical="center"/>
    </xf>
    <xf numFmtId="6" fontId="40" fillId="6" borderId="1" xfId="0" applyNumberFormat="1" applyFont="1" applyFill="1" applyBorder="1" applyAlignment="1" applyProtection="1">
      <alignment horizontal="center" vertical="center"/>
    </xf>
    <xf numFmtId="164" fontId="40" fillId="6" borderId="1" xfId="0" applyNumberFormat="1" applyFont="1" applyFill="1" applyBorder="1" applyAlignment="1" applyProtection="1">
      <alignment horizontal="center" vertical="center"/>
    </xf>
    <xf numFmtId="0" fontId="39" fillId="4" borderId="1" xfId="0" applyNumberFormat="1" applyFont="1" applyFill="1" applyBorder="1" applyAlignment="1" applyProtection="1">
      <alignment horizontal="center" vertical="center"/>
    </xf>
    <xf numFmtId="0" fontId="11" fillId="5" borderId="1" xfId="0" applyFont="1" applyFill="1" applyBorder="1" applyAlignment="1" applyProtection="1">
      <alignment horizontal="center" vertical="center" wrapText="1"/>
    </xf>
    <xf numFmtId="6" fontId="1" fillId="6" borderId="1" xfId="0" applyNumberFormat="1" applyFont="1" applyFill="1" applyBorder="1" applyProtection="1"/>
    <xf numFmtId="0" fontId="3" fillId="5" borderId="18" xfId="0" applyFont="1" applyFill="1" applyBorder="1" applyProtection="1"/>
    <xf numFmtId="0" fontId="0" fillId="5" borderId="34" xfId="0" applyFill="1" applyBorder="1" applyProtection="1"/>
    <xf numFmtId="0" fontId="11" fillId="4" borderId="29" xfId="0" applyFont="1" applyFill="1" applyBorder="1" applyAlignment="1" applyProtection="1">
      <alignment horizontal="center" vertical="center"/>
    </xf>
    <xf numFmtId="0" fontId="11" fillId="11" borderId="1" xfId="0" applyFont="1" applyFill="1" applyBorder="1" applyAlignment="1" applyProtection="1">
      <alignment horizontal="center"/>
    </xf>
    <xf numFmtId="0" fontId="11" fillId="5" borderId="1" xfId="0" applyFont="1" applyFill="1" applyBorder="1" applyAlignment="1" applyProtection="1">
      <alignment horizontal="right" wrapText="1"/>
    </xf>
    <xf numFmtId="0" fontId="0" fillId="8" borderId="1" xfId="0" applyFill="1" applyBorder="1"/>
    <xf numFmtId="0" fontId="3" fillId="8" borderId="1" xfId="0" applyFont="1" applyFill="1" applyBorder="1"/>
    <xf numFmtId="0" fontId="3" fillId="0" borderId="0" xfId="0" applyFont="1" applyAlignment="1">
      <alignment vertical="top" wrapText="1"/>
    </xf>
    <xf numFmtId="0" fontId="3" fillId="0" borderId="0" xfId="0" applyFont="1"/>
    <xf numFmtId="0" fontId="11" fillId="0" borderId="0" xfId="0" applyFont="1" applyFill="1" applyBorder="1" applyAlignment="1" applyProtection="1">
      <alignment horizontal="left" vertical="top"/>
      <protection locked="0"/>
    </xf>
    <xf numFmtId="6" fontId="16" fillId="0" borderId="0" xfId="0" applyNumberFormat="1" applyFont="1" applyFill="1" applyBorder="1" applyAlignment="1" applyProtection="1">
      <alignment horizontal="left" vertical="top"/>
    </xf>
    <xf numFmtId="0" fontId="3" fillId="0" borderId="0" xfId="0" applyFont="1" applyFill="1" applyBorder="1" applyAlignment="1" applyProtection="1">
      <alignment horizontal="left" vertical="top"/>
      <protection locked="0"/>
    </xf>
    <xf numFmtId="0" fontId="11"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64" fontId="40"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top"/>
    </xf>
    <xf numFmtId="6" fontId="0" fillId="6" borderId="1" xfId="0" applyNumberFormat="1" applyFill="1" applyBorder="1" applyAlignment="1" applyProtection="1">
      <alignment vertical="center"/>
    </xf>
    <xf numFmtId="0" fontId="0" fillId="0" borderId="0" xfId="0" applyAlignment="1">
      <alignment vertical="top" wrapText="1"/>
    </xf>
    <xf numFmtId="6" fontId="41" fillId="6" borderId="1" xfId="0" applyNumberFormat="1" applyFont="1" applyFill="1" applyBorder="1" applyAlignment="1">
      <alignment vertical="center"/>
    </xf>
    <xf numFmtId="0" fontId="20" fillId="5" borderId="1" xfId="0" applyFont="1" applyFill="1" applyBorder="1" applyAlignment="1">
      <alignment horizontal="right" vertical="center"/>
    </xf>
    <xf numFmtId="0" fontId="9" fillId="3" borderId="0" xfId="0" applyFont="1" applyFill="1" applyBorder="1" applyAlignment="1" applyProtection="1"/>
    <xf numFmtId="0" fontId="31" fillId="0" borderId="0" xfId="1" applyFill="1" applyBorder="1" applyAlignment="1" applyProtection="1">
      <alignment horizontal="center" vertical="center"/>
      <protection locked="0"/>
    </xf>
    <xf numFmtId="0" fontId="9" fillId="0" borderId="0" xfId="0" applyFont="1" applyFill="1" applyBorder="1" applyProtection="1">
      <protection locked="0"/>
    </xf>
    <xf numFmtId="0" fontId="5" fillId="0" borderId="0" xfId="0" applyFont="1" applyFill="1" applyBorder="1" applyAlignment="1" applyProtection="1">
      <alignment horizontal="right" vertical="center"/>
    </xf>
    <xf numFmtId="0" fontId="30" fillId="0" borderId="0" xfId="0" applyFont="1" applyFill="1" applyBorder="1" applyAlignment="1" applyProtection="1">
      <alignment horizontal="left" vertical="top" wrapText="1"/>
    </xf>
    <xf numFmtId="0" fontId="29" fillId="0" borderId="0" xfId="0" applyFont="1" applyFill="1" applyBorder="1" applyAlignment="1" applyProtection="1">
      <alignment vertical="center"/>
    </xf>
    <xf numFmtId="0" fontId="0" fillId="0" borderId="0" xfId="0" applyFill="1" applyBorder="1" applyAlignment="1" applyProtection="1">
      <protection locked="0"/>
    </xf>
    <xf numFmtId="167" fontId="3" fillId="0" borderId="0" xfId="0" applyNumberFormat="1" applyFont="1" applyFill="1" applyBorder="1" applyAlignment="1" applyProtection="1">
      <protection locked="0"/>
    </xf>
    <xf numFmtId="167" fontId="0" fillId="0" borderId="0" xfId="0" applyNumberFormat="1" applyFill="1" applyBorder="1" applyAlignment="1" applyProtection="1">
      <protection locked="0"/>
    </xf>
    <xf numFmtId="0" fontId="3" fillId="0" borderId="0" xfId="0" applyFont="1" applyFill="1" applyBorder="1" applyAlignment="1" applyProtection="1">
      <alignment vertical="center" wrapText="1"/>
    </xf>
    <xf numFmtId="0" fontId="3"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Fill="1" applyBorder="1" applyAlignment="1" applyProtection="1">
      <alignment vertical="center" wrapText="1"/>
    </xf>
    <xf numFmtId="38" fontId="0" fillId="0" borderId="0" xfId="0" applyNumberFormat="1" applyFill="1" applyBorder="1" applyAlignment="1" applyProtection="1">
      <protection locked="0"/>
    </xf>
    <xf numFmtId="164" fontId="0" fillId="0" borderId="0" xfId="0" applyNumberFormat="1" applyFill="1" applyBorder="1" applyAlignment="1" applyProtection="1"/>
    <xf numFmtId="38" fontId="0" fillId="0" borderId="0" xfId="0" applyNumberFormat="1" applyFill="1" applyBorder="1" applyAlignment="1" applyProtection="1"/>
    <xf numFmtId="6" fontId="0" fillId="0" borderId="0" xfId="0" applyNumberFormat="1" applyFill="1" applyBorder="1" applyAlignment="1" applyProtection="1">
      <protection locked="0"/>
    </xf>
    <xf numFmtId="6" fontId="0" fillId="0" borderId="0" xfId="0" applyNumberFormat="1" applyFill="1" applyBorder="1" applyAlignment="1" applyProtection="1"/>
    <xf numFmtId="38" fontId="3" fillId="0" borderId="0" xfId="0" applyNumberFormat="1" applyFont="1" applyFill="1" applyBorder="1" applyAlignment="1" applyProtection="1"/>
    <xf numFmtId="0" fontId="3" fillId="0" borderId="0" xfId="0" applyFont="1" applyFill="1" applyBorder="1" applyAlignment="1" applyProtection="1"/>
    <xf numFmtId="6" fontId="11" fillId="0" borderId="0" xfId="0" applyNumberFormat="1" applyFont="1" applyFill="1" applyBorder="1" applyAlignment="1" applyProtection="1">
      <alignment vertical="center"/>
    </xf>
    <xf numFmtId="38" fontId="11" fillId="0" borderId="0" xfId="0" applyNumberFormat="1" applyFont="1" applyFill="1" applyBorder="1" applyAlignment="1" applyProtection="1">
      <alignment vertical="center"/>
    </xf>
    <xf numFmtId="0" fontId="9" fillId="0" borderId="0" xfId="0" applyFont="1" applyFill="1" applyAlignment="1" applyProtection="1"/>
    <xf numFmtId="0" fontId="9" fillId="0" borderId="3" xfId="0" applyFont="1" applyFill="1" applyBorder="1" applyAlignment="1" applyProtection="1"/>
    <xf numFmtId="0" fontId="13" fillId="0" borderId="0" xfId="0" applyFont="1" applyFill="1" applyAlignment="1" applyProtection="1"/>
    <xf numFmtId="0" fontId="9" fillId="0" borderId="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xf numFmtId="0" fontId="3" fillId="0" borderId="0" xfId="0" applyFont="1" applyAlignment="1">
      <alignment horizontal="left" vertical="top" wrapText="1"/>
    </xf>
    <xf numFmtId="0" fontId="44" fillId="2" borderId="29" xfId="0" applyFont="1" applyFill="1" applyBorder="1" applyAlignment="1">
      <alignment horizontal="center" vertical="center"/>
    </xf>
    <xf numFmtId="0" fontId="3" fillId="6" borderId="29" xfId="0" applyFont="1" applyFill="1" applyBorder="1" applyAlignment="1">
      <alignment horizontal="center" vertical="center"/>
    </xf>
    <xf numFmtId="0" fontId="39" fillId="4" borderId="1" xfId="0" applyFont="1" applyFill="1" applyBorder="1" applyAlignment="1">
      <alignment horizontal="center" vertical="center"/>
    </xf>
    <xf numFmtId="0" fontId="11" fillId="5" borderId="1" xfId="0" applyFont="1" applyFill="1" applyBorder="1" applyAlignment="1">
      <alignment horizontal="center" vertical="center" wrapText="1"/>
    </xf>
    <xf numFmtId="6" fontId="0" fillId="6" borderId="1" xfId="0" applyNumberFormat="1" applyFill="1" applyBorder="1" applyAlignment="1">
      <alignment vertical="center"/>
    </xf>
    <xf numFmtId="0" fontId="11" fillId="11" borderId="1" xfId="0" applyFont="1" applyFill="1" applyBorder="1" applyAlignment="1">
      <alignment horizontal="center"/>
    </xf>
    <xf numFmtId="0" fontId="11" fillId="5" borderId="1" xfId="0" applyFont="1" applyFill="1" applyBorder="1" applyAlignment="1">
      <alignment horizontal="right"/>
    </xf>
    <xf numFmtId="6" fontId="0" fillId="6" borderId="1" xfId="0" applyNumberFormat="1" applyFill="1" applyBorder="1"/>
    <xf numFmtId="6" fontId="3" fillId="6" borderId="1" xfId="0" applyNumberFormat="1" applyFont="1" applyFill="1" applyBorder="1"/>
    <xf numFmtId="0" fontId="20" fillId="5" borderId="13" xfId="0" applyFont="1" applyFill="1" applyBorder="1" applyAlignment="1">
      <alignment horizontal="right" vertical="center"/>
    </xf>
    <xf numFmtId="0" fontId="20" fillId="5" borderId="8" xfId="0" applyFont="1" applyFill="1" applyBorder="1" applyAlignment="1">
      <alignment horizontal="right" vertical="center"/>
    </xf>
    <xf numFmtId="6" fontId="3" fillId="8" borderId="1" xfId="0" applyNumberFormat="1" applyFont="1" applyFill="1" applyBorder="1"/>
    <xf numFmtId="6" fontId="47" fillId="6" borderId="1" xfId="0" applyNumberFormat="1" applyFont="1" applyFill="1" applyBorder="1"/>
    <xf numFmtId="6" fontId="48" fillId="6" borderId="1" xfId="0" applyNumberFormat="1" applyFont="1" applyFill="1" applyBorder="1"/>
    <xf numFmtId="0" fontId="3" fillId="5" borderId="27" xfId="0" applyFont="1" applyFill="1" applyBorder="1"/>
    <xf numFmtId="164" fontId="0" fillId="5" borderId="28" xfId="0" applyNumberFormat="1" applyFill="1" applyBorder="1"/>
    <xf numFmtId="6" fontId="15" fillId="6" borderId="1" xfId="0" applyNumberFormat="1" applyFont="1" applyFill="1" applyBorder="1"/>
    <xf numFmtId="0" fontId="3" fillId="5" borderId="13" xfId="0" applyFont="1" applyFill="1" applyBorder="1"/>
    <xf numFmtId="0" fontId="0" fillId="5" borderId="8" xfId="0" applyFill="1" applyBorder="1"/>
    <xf numFmtId="6" fontId="15" fillId="6" borderId="13" xfId="0" applyNumberFormat="1" applyFont="1" applyFill="1" applyBorder="1"/>
    <xf numFmtId="0" fontId="3" fillId="5" borderId="14" xfId="0" applyFont="1" applyFill="1" applyBorder="1"/>
    <xf numFmtId="6" fontId="49" fillId="6" borderId="1" xfId="0" applyNumberFormat="1" applyFont="1" applyFill="1" applyBorder="1" applyAlignment="1">
      <alignment vertical="center"/>
    </xf>
    <xf numFmtId="6" fontId="50" fillId="6" borderId="1" xfId="0" applyNumberFormat="1" applyFont="1" applyFill="1" applyBorder="1" applyAlignment="1">
      <alignment vertical="center"/>
    </xf>
    <xf numFmtId="0" fontId="20" fillId="8" borderId="1" xfId="0" applyFont="1" applyFill="1" applyBorder="1" applyAlignment="1">
      <alignment horizontal="right" vertical="center"/>
    </xf>
    <xf numFmtId="6" fontId="41" fillId="8" borderId="0" xfId="0" applyNumberFormat="1" applyFont="1" applyFill="1" applyAlignment="1">
      <alignment vertical="center"/>
    </xf>
    <xf numFmtId="0" fontId="5" fillId="0" borderId="0" xfId="0" applyFont="1" applyAlignment="1">
      <alignment horizontal="center"/>
    </xf>
    <xf numFmtId="0" fontId="11" fillId="4" borderId="29" xfId="0" applyFont="1" applyFill="1" applyBorder="1" applyAlignment="1">
      <alignment horizontal="center" vertical="center"/>
    </xf>
    <xf numFmtId="0" fontId="11" fillId="0" borderId="0" xfId="0" applyFont="1" applyAlignment="1">
      <alignment horizontal="left" vertical="top"/>
    </xf>
    <xf numFmtId="6" fontId="49" fillId="6" borderId="1" xfId="0" applyNumberFormat="1" applyFont="1" applyFill="1" applyBorder="1" applyAlignment="1">
      <alignment horizontal="center" vertical="center"/>
    </xf>
    <xf numFmtId="6" fontId="16" fillId="0" borderId="0" xfId="0" applyNumberFormat="1" applyFont="1" applyAlignment="1">
      <alignment horizontal="left" vertical="top"/>
    </xf>
    <xf numFmtId="0" fontId="5" fillId="0" borderId="0" xfId="0" applyFont="1"/>
    <xf numFmtId="6" fontId="49" fillId="6" borderId="15" xfId="0" applyNumberFormat="1" applyFont="1" applyFill="1" applyBorder="1" applyAlignment="1">
      <alignment horizontal="center" vertical="center"/>
    </xf>
    <xf numFmtId="0" fontId="0" fillId="0" borderId="0" xfId="0" applyFill="1" applyBorder="1"/>
    <xf numFmtId="0" fontId="11" fillId="0" borderId="0" xfId="0" applyFont="1" applyFill="1" applyBorder="1" applyAlignment="1">
      <alignment horizontal="center" vertical="center"/>
    </xf>
    <xf numFmtId="6" fontId="49"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0" fillId="0" borderId="0" xfId="0" applyAlignment="1">
      <alignment horizontal="left" vertical="center"/>
    </xf>
    <xf numFmtId="6" fontId="0" fillId="8" borderId="1" xfId="0" applyNumberFormat="1" applyFill="1" applyBorder="1" applyAlignment="1">
      <alignment vertical="center"/>
    </xf>
    <xf numFmtId="0" fontId="0" fillId="0" borderId="0" xfId="0" applyAlignment="1">
      <alignment vertical="center"/>
    </xf>
    <xf numFmtId="0" fontId="18" fillId="5" borderId="1" xfId="0" applyFont="1" applyFill="1" applyBorder="1" applyAlignment="1">
      <alignment horizontal="right" vertical="center"/>
    </xf>
    <xf numFmtId="0" fontId="18" fillId="5" borderId="1" xfId="0" applyFont="1" applyFill="1" applyBorder="1" applyAlignment="1">
      <alignment horizontal="right" vertical="center" wrapText="1"/>
    </xf>
    <xf numFmtId="6" fontId="46" fillId="6" borderId="1" xfId="0" applyNumberFormat="1" applyFont="1" applyFill="1" applyBorder="1" applyProtection="1"/>
    <xf numFmtId="6" fontId="3" fillId="6" borderId="8" xfId="0" applyNumberFormat="1" applyFont="1" applyFill="1" applyBorder="1"/>
    <xf numFmtId="6" fontId="0" fillId="8" borderId="14" xfId="0" applyNumberFormat="1" applyFill="1" applyBorder="1"/>
    <xf numFmtId="6" fontId="3" fillId="8" borderId="14" xfId="0" applyNumberFormat="1" applyFont="1" applyFill="1" applyBorder="1"/>
    <xf numFmtId="0" fontId="30" fillId="5" borderId="37" xfId="0" applyFont="1" applyFill="1" applyBorder="1" applyAlignment="1" applyProtection="1">
      <alignment horizontal="left" vertical="top" wrapText="1"/>
    </xf>
    <xf numFmtId="0" fontId="30" fillId="5" borderId="35" xfId="0" applyFont="1" applyFill="1" applyBorder="1" applyAlignment="1" applyProtection="1">
      <alignment horizontal="left" vertical="top" wrapText="1"/>
    </xf>
    <xf numFmtId="0" fontId="30" fillId="5" borderId="36" xfId="0" applyFont="1" applyFill="1" applyBorder="1" applyAlignment="1" applyProtection="1">
      <alignment horizontal="left" vertical="top" wrapText="1"/>
    </xf>
    <xf numFmtId="0" fontId="30" fillId="5" borderId="3" xfId="0" applyFont="1" applyFill="1" applyBorder="1" applyAlignment="1" applyProtection="1">
      <alignment horizontal="left" vertical="top" wrapText="1"/>
    </xf>
    <xf numFmtId="0" fontId="30" fillId="5" borderId="0" xfId="0" applyFont="1" applyFill="1" applyBorder="1" applyAlignment="1" applyProtection="1">
      <alignment horizontal="left" vertical="top" wrapText="1"/>
    </xf>
    <xf numFmtId="0" fontId="30" fillId="5" borderId="4" xfId="0" applyFont="1" applyFill="1" applyBorder="1" applyAlignment="1" applyProtection="1">
      <alignment horizontal="left" vertical="top" wrapText="1"/>
    </xf>
    <xf numFmtId="0" fontId="30" fillId="5" borderId="46" xfId="0" applyFont="1" applyFill="1" applyBorder="1" applyAlignment="1" applyProtection="1">
      <alignment horizontal="left" vertical="top" wrapText="1"/>
    </xf>
    <xf numFmtId="0" fontId="30" fillId="5" borderId="47" xfId="0" applyFont="1" applyFill="1" applyBorder="1" applyAlignment="1" applyProtection="1">
      <alignment horizontal="left" vertical="top" wrapText="1"/>
    </xf>
    <xf numFmtId="0" fontId="30" fillId="5" borderId="17" xfId="0" applyFont="1" applyFill="1" applyBorder="1" applyAlignment="1" applyProtection="1">
      <alignment horizontal="left" vertical="top" wrapText="1"/>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27" fillId="4" borderId="0" xfId="0" applyFont="1" applyFill="1" applyAlignment="1" applyProtection="1">
      <alignment horizontal="center" vertical="center"/>
    </xf>
    <xf numFmtId="0" fontId="3" fillId="6" borderId="10" xfId="0" applyFont="1" applyFill="1" applyBorder="1" applyAlignment="1" applyProtection="1">
      <alignment horizontal="center" vertical="center"/>
    </xf>
    <xf numFmtId="0" fontId="3" fillId="6" borderId="11" xfId="0" applyFont="1" applyFill="1" applyBorder="1" applyAlignment="1" applyProtection="1">
      <alignment horizontal="center" vertical="center"/>
    </xf>
    <xf numFmtId="0" fontId="6" fillId="5" borderId="0" xfId="0" applyFont="1" applyFill="1" applyAlignment="1" applyProtection="1">
      <alignment horizontal="left"/>
    </xf>
    <xf numFmtId="0" fontId="26" fillId="2" borderId="46" xfId="0" applyFont="1" applyFill="1" applyBorder="1" applyAlignment="1" applyProtection="1">
      <alignment horizontal="center"/>
      <protection locked="0"/>
    </xf>
    <xf numFmtId="0" fontId="26" fillId="2" borderId="17" xfId="0" applyFont="1" applyFill="1" applyBorder="1" applyAlignment="1" applyProtection="1">
      <alignment horizontal="center"/>
      <protection locked="0"/>
    </xf>
    <xf numFmtId="0" fontId="26" fillId="2" borderId="10" xfId="0" applyFont="1" applyFill="1" applyBorder="1" applyAlignment="1" applyProtection="1">
      <alignment horizontal="center"/>
      <protection locked="0"/>
    </xf>
    <xf numFmtId="0" fontId="26" fillId="2" borderId="12" xfId="0" applyFont="1" applyFill="1" applyBorder="1" applyAlignment="1" applyProtection="1">
      <alignment horizontal="center"/>
      <protection locked="0"/>
    </xf>
    <xf numFmtId="0" fontId="26" fillId="2" borderId="11" xfId="0" applyFont="1" applyFill="1" applyBorder="1" applyAlignment="1" applyProtection="1">
      <alignment horizontal="center"/>
      <protection locked="0"/>
    </xf>
    <xf numFmtId="0" fontId="9" fillId="3" borderId="0" xfId="0" applyFont="1" applyFill="1" applyAlignment="1" applyProtection="1">
      <alignment horizontal="left"/>
    </xf>
    <xf numFmtId="0" fontId="13" fillId="4" borderId="13"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14" xfId="0" applyFont="1" applyFill="1" applyBorder="1" applyAlignment="1" applyProtection="1">
      <alignment horizontal="center" vertical="center"/>
    </xf>
    <xf numFmtId="0" fontId="3" fillId="5" borderId="42" xfId="0" applyFont="1" applyFill="1" applyBorder="1" applyAlignment="1" applyProtection="1">
      <alignment horizontal="left" vertical="center"/>
    </xf>
    <xf numFmtId="0" fontId="3" fillId="5" borderId="8"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21" fillId="4" borderId="37" xfId="0" applyFont="1" applyFill="1" applyBorder="1" applyAlignment="1" applyProtection="1">
      <alignment horizontal="center" vertical="center"/>
    </xf>
    <xf numFmtId="0" fontId="21" fillId="4" borderId="35" xfId="0" applyFont="1" applyFill="1" applyBorder="1" applyAlignment="1" applyProtection="1">
      <alignment horizontal="center" vertical="center"/>
    </xf>
    <xf numFmtId="0" fontId="21" fillId="4" borderId="36" xfId="0" applyFont="1" applyFill="1" applyBorder="1" applyAlignment="1" applyProtection="1">
      <alignment horizontal="center" vertical="center"/>
    </xf>
    <xf numFmtId="0" fontId="3" fillId="5" borderId="40" xfId="0" applyFont="1" applyFill="1" applyBorder="1" applyAlignment="1" applyProtection="1">
      <alignment horizontal="left" vertical="center"/>
    </xf>
    <xf numFmtId="0" fontId="3" fillId="5" borderId="1" xfId="0" applyFont="1" applyFill="1" applyBorder="1" applyAlignment="1" applyProtection="1">
      <alignment horizontal="left" vertical="center"/>
    </xf>
    <xf numFmtId="0" fontId="3" fillId="5" borderId="24" xfId="0" applyFont="1" applyFill="1" applyBorder="1" applyAlignment="1" applyProtection="1">
      <alignment horizontal="left" vertical="center"/>
    </xf>
    <xf numFmtId="0" fontId="3" fillId="5" borderId="15" xfId="0" applyFont="1" applyFill="1" applyBorder="1" applyAlignment="1" applyProtection="1">
      <alignment horizontal="left" vertical="center"/>
    </xf>
    <xf numFmtId="0" fontId="3" fillId="5" borderId="43" xfId="0" applyFont="1" applyFill="1" applyBorder="1" applyAlignment="1" applyProtection="1">
      <alignment horizontal="left" vertical="center"/>
    </xf>
    <xf numFmtId="0" fontId="3" fillId="5" borderId="29" xfId="0" applyFont="1" applyFill="1" applyBorder="1" applyAlignment="1" applyProtection="1">
      <alignment horizontal="left" vertical="center"/>
    </xf>
    <xf numFmtId="0" fontId="5" fillId="5" borderId="1" xfId="0" applyFont="1" applyFill="1" applyBorder="1" applyAlignment="1" applyProtection="1">
      <alignment horizontal="right"/>
    </xf>
    <xf numFmtId="0" fontId="5" fillId="5" borderId="13" xfId="0" applyFont="1" applyFill="1" applyBorder="1" applyAlignment="1" applyProtection="1">
      <alignment horizontal="right"/>
    </xf>
    <xf numFmtId="0" fontId="13" fillId="5" borderId="0" xfId="0" applyFont="1" applyFill="1" applyAlignment="1" applyProtection="1">
      <alignment horizontal="right"/>
    </xf>
    <xf numFmtId="0" fontId="13" fillId="5" borderId="4" xfId="0" applyFont="1" applyFill="1" applyBorder="1" applyAlignment="1" applyProtection="1">
      <alignment horizontal="right"/>
    </xf>
    <xf numFmtId="0" fontId="9" fillId="3" borderId="4" xfId="0" applyFont="1" applyFill="1" applyBorder="1" applyAlignment="1" applyProtection="1">
      <alignment horizontal="left"/>
    </xf>
    <xf numFmtId="38" fontId="15" fillId="6" borderId="10" xfId="0" applyNumberFormat="1" applyFont="1" applyFill="1" applyBorder="1" applyAlignment="1" applyProtection="1">
      <alignment horizontal="center"/>
    </xf>
    <xf numFmtId="38" fontId="15" fillId="6" borderId="11" xfId="0" applyNumberFormat="1" applyFont="1" applyFill="1" applyBorder="1" applyAlignment="1" applyProtection="1">
      <alignment horizontal="center"/>
    </xf>
    <xf numFmtId="0" fontId="11" fillId="5" borderId="1" xfId="0" applyFont="1" applyFill="1" applyBorder="1" applyAlignment="1" applyProtection="1">
      <alignment horizontal="right"/>
    </xf>
    <xf numFmtId="0" fontId="11" fillId="5" borderId="13" xfId="0" applyFont="1" applyFill="1" applyBorder="1" applyAlignment="1" applyProtection="1">
      <alignment horizontal="right"/>
    </xf>
    <xf numFmtId="6" fontId="15" fillId="2" borderId="10" xfId="0" applyNumberFormat="1" applyFont="1" applyFill="1" applyBorder="1" applyAlignment="1" applyProtection="1">
      <alignment horizontal="center"/>
      <protection locked="0"/>
    </xf>
    <xf numFmtId="6" fontId="15" fillId="2" borderId="11" xfId="0" applyNumberFormat="1" applyFont="1" applyFill="1" applyBorder="1" applyAlignment="1" applyProtection="1">
      <alignment horizontal="center"/>
      <protection locked="0"/>
    </xf>
    <xf numFmtId="6" fontId="15" fillId="2" borderId="19" xfId="0" applyNumberFormat="1" applyFont="1" applyFill="1" applyBorder="1" applyAlignment="1" applyProtection="1">
      <alignment horizontal="center"/>
      <protection locked="0"/>
    </xf>
    <xf numFmtId="6" fontId="15" fillId="2" borderId="20" xfId="0" applyNumberFormat="1" applyFont="1" applyFill="1" applyBorder="1" applyAlignment="1" applyProtection="1">
      <alignment horizontal="center"/>
      <protection locked="0"/>
    </xf>
    <xf numFmtId="0" fontId="3" fillId="7" borderId="15" xfId="0" applyFont="1" applyFill="1" applyBorder="1" applyAlignment="1" applyProtection="1">
      <alignment horizontal="center"/>
    </xf>
    <xf numFmtId="38" fontId="16" fillId="6" borderId="10" xfId="0" applyNumberFormat="1" applyFont="1" applyFill="1" applyBorder="1" applyAlignment="1" applyProtection="1">
      <alignment horizontal="center"/>
    </xf>
    <xf numFmtId="38" fontId="16" fillId="6" borderId="11" xfId="0" applyNumberFormat="1" applyFont="1" applyFill="1" applyBorder="1" applyAlignment="1" applyProtection="1">
      <alignment horizontal="center"/>
    </xf>
    <xf numFmtId="6" fontId="16" fillId="6" borderId="10" xfId="0" applyNumberFormat="1" applyFont="1" applyFill="1" applyBorder="1" applyAlignment="1" applyProtection="1">
      <alignment horizontal="center"/>
    </xf>
    <xf numFmtId="6" fontId="16" fillId="6" borderId="11" xfId="0" applyNumberFormat="1" applyFont="1" applyFill="1" applyBorder="1" applyAlignment="1" applyProtection="1">
      <alignment horizontal="center"/>
    </xf>
    <xf numFmtId="0" fontId="28" fillId="4" borderId="0" xfId="0" applyFont="1" applyFill="1" applyAlignment="1" applyProtection="1">
      <alignment horizontal="center" vertical="center"/>
    </xf>
    <xf numFmtId="0" fontId="3" fillId="7" borderId="1" xfId="0" applyFont="1" applyFill="1" applyBorder="1" applyAlignment="1" applyProtection="1">
      <alignment horizontal="center" vertical="center"/>
    </xf>
    <xf numFmtId="0" fontId="3" fillId="5" borderId="1" xfId="0" applyFont="1" applyFill="1" applyBorder="1" applyAlignment="1" applyProtection="1">
      <alignment horizontal="left"/>
    </xf>
    <xf numFmtId="0" fontId="13" fillId="4" borderId="0" xfId="0" applyFont="1" applyFill="1" applyAlignment="1" applyProtection="1">
      <alignment horizontal="center" vertical="center"/>
    </xf>
    <xf numFmtId="0" fontId="9" fillId="3" borderId="0" xfId="0" applyFont="1" applyFill="1" applyAlignment="1" applyProtection="1">
      <alignment horizontal="center"/>
    </xf>
    <xf numFmtId="0" fontId="9" fillId="3" borderId="4" xfId="0" applyFont="1" applyFill="1" applyBorder="1" applyAlignment="1" applyProtection="1">
      <alignment horizontal="center"/>
    </xf>
    <xf numFmtId="0" fontId="9" fillId="3" borderId="0" xfId="0" applyFont="1" applyFill="1" applyAlignment="1" applyProtection="1"/>
    <xf numFmtId="0" fontId="9" fillId="3" borderId="4" xfId="0" applyFont="1" applyFill="1" applyBorder="1" applyAlignment="1" applyProtection="1"/>
    <xf numFmtId="0" fontId="26" fillId="5" borderId="13" xfId="0" applyFont="1" applyFill="1" applyBorder="1" applyAlignment="1" applyProtection="1">
      <alignment horizontal="center" vertical="center"/>
    </xf>
    <xf numFmtId="0" fontId="26" fillId="5" borderId="8" xfId="0" applyFont="1" applyFill="1" applyBorder="1" applyAlignment="1" applyProtection="1">
      <alignment horizontal="center" vertical="center"/>
    </xf>
    <xf numFmtId="0" fontId="26" fillId="5" borderId="14" xfId="0" applyFont="1" applyFill="1" applyBorder="1" applyAlignment="1" applyProtection="1">
      <alignment horizontal="center" vertical="center"/>
    </xf>
    <xf numFmtId="0" fontId="8" fillId="3" borderId="0" xfId="0" applyFont="1" applyFill="1" applyAlignment="1" applyProtection="1">
      <alignment horizontal="center" vertical="center"/>
    </xf>
    <xf numFmtId="3" fontId="9" fillId="3" borderId="3" xfId="0" applyNumberFormat="1" applyFont="1" applyFill="1" applyBorder="1" applyAlignment="1" applyProtection="1">
      <alignment horizontal="left"/>
    </xf>
    <xf numFmtId="3" fontId="9" fillId="3" borderId="0" xfId="0" applyNumberFormat="1" applyFont="1" applyFill="1" applyBorder="1" applyAlignment="1" applyProtection="1">
      <alignment horizontal="left"/>
    </xf>
    <xf numFmtId="0" fontId="13" fillId="5" borderId="0" xfId="0" applyFont="1" applyFill="1" applyAlignment="1" applyProtection="1">
      <alignment horizontal="right" vertical="center"/>
    </xf>
    <xf numFmtId="0" fontId="13" fillId="5" borderId="4" xfId="0" applyFont="1" applyFill="1" applyBorder="1" applyAlignment="1" applyProtection="1">
      <alignment horizontal="right" vertical="center"/>
    </xf>
    <xf numFmtId="0" fontId="26" fillId="5" borderId="29" xfId="0" applyFont="1" applyFill="1" applyBorder="1" applyAlignment="1" applyProtection="1">
      <alignment horizontal="center" vertical="center"/>
    </xf>
    <xf numFmtId="0" fontId="13" fillId="5" borderId="0" xfId="0" quotePrefix="1" applyFont="1" applyFill="1" applyAlignment="1" applyProtection="1">
      <alignment horizontal="right"/>
    </xf>
    <xf numFmtId="0" fontId="9" fillId="3" borderId="0" xfId="0" applyFont="1" applyFill="1" applyBorder="1" applyAlignment="1" applyProtection="1">
      <alignment horizontal="center"/>
    </xf>
    <xf numFmtId="0" fontId="9" fillId="3" borderId="3" xfId="0" applyFont="1" applyFill="1" applyBorder="1" applyAlignment="1" applyProtection="1">
      <alignment horizontal="left"/>
    </xf>
    <xf numFmtId="0" fontId="9" fillId="3" borderId="0" xfId="0" applyFont="1" applyFill="1" applyBorder="1" applyAlignment="1" applyProtection="1">
      <alignment horizontal="left"/>
    </xf>
    <xf numFmtId="0" fontId="9" fillId="3" borderId="16" xfId="0" applyFont="1" applyFill="1" applyBorder="1" applyAlignment="1" applyProtection="1">
      <alignment horizontal="left"/>
    </xf>
    <xf numFmtId="2" fontId="9" fillId="3" borderId="3" xfId="0" applyNumberFormat="1" applyFont="1" applyFill="1" applyBorder="1" applyAlignment="1" applyProtection="1">
      <alignment horizontal="left"/>
    </xf>
    <xf numFmtId="2" fontId="9" fillId="3" borderId="0" xfId="0" applyNumberFormat="1" applyFont="1" applyFill="1" applyBorder="1" applyAlignment="1" applyProtection="1">
      <alignment horizontal="left"/>
    </xf>
    <xf numFmtId="165" fontId="9" fillId="3" borderId="3" xfId="0" applyNumberFormat="1" applyFont="1" applyFill="1" applyBorder="1" applyAlignment="1" applyProtection="1">
      <alignment horizontal="left"/>
    </xf>
    <xf numFmtId="165" fontId="9" fillId="3" borderId="0" xfId="0" applyNumberFormat="1" applyFont="1" applyFill="1" applyBorder="1" applyAlignment="1" applyProtection="1">
      <alignment horizontal="left"/>
    </xf>
    <xf numFmtId="0" fontId="13" fillId="5" borderId="0" xfId="0" applyFont="1" applyFill="1" applyAlignment="1" applyProtection="1">
      <alignment horizontal="center"/>
    </xf>
    <xf numFmtId="0" fontId="13" fillId="5" borderId="4" xfId="0" applyFont="1" applyFill="1" applyBorder="1" applyAlignment="1" applyProtection="1">
      <alignment horizontal="center"/>
    </xf>
    <xf numFmtId="0" fontId="9" fillId="3" borderId="3" xfId="0" applyFont="1" applyFill="1" applyBorder="1" applyAlignment="1" applyProtection="1">
      <alignment horizontal="left"/>
      <protection locked="0"/>
    </xf>
    <xf numFmtId="0" fontId="9" fillId="3" borderId="0" xfId="0" applyFont="1" applyFill="1" applyBorder="1" applyAlignment="1" applyProtection="1">
      <alignment horizontal="left"/>
      <protection locked="0"/>
    </xf>
    <xf numFmtId="0" fontId="9" fillId="3" borderId="0" xfId="0" applyFont="1" applyFill="1" applyAlignment="1" applyProtection="1">
      <alignment horizontal="center"/>
      <protection locked="0"/>
    </xf>
    <xf numFmtId="0" fontId="9" fillId="3" borderId="4" xfId="0" applyFont="1" applyFill="1" applyBorder="1" applyAlignment="1" applyProtection="1">
      <alignment horizontal="center"/>
      <protection locked="0"/>
    </xf>
    <xf numFmtId="0" fontId="9" fillId="3" borderId="0" xfId="0" applyFont="1" applyFill="1" applyAlignment="1" applyProtection="1">
      <alignment horizontal="right"/>
    </xf>
    <xf numFmtId="0" fontId="9" fillId="3" borderId="3" xfId="0" applyFont="1" applyFill="1" applyBorder="1" applyAlignment="1" applyProtection="1">
      <alignment horizontal="center"/>
    </xf>
    <xf numFmtId="0" fontId="9" fillId="3" borderId="0" xfId="0" applyFont="1" applyFill="1" applyAlignment="1" applyProtection="1">
      <alignment horizontal="center" wrapText="1"/>
    </xf>
    <xf numFmtId="0" fontId="9" fillId="3" borderId="4" xfId="0" applyFont="1" applyFill="1" applyBorder="1" applyAlignment="1" applyProtection="1">
      <alignment horizontal="center" wrapText="1"/>
    </xf>
    <xf numFmtId="0" fontId="9" fillId="3" borderId="0" xfId="0" applyFont="1" applyFill="1" applyAlignment="1" applyProtection="1">
      <alignment horizontal="left"/>
      <protection locked="0"/>
    </xf>
    <xf numFmtId="0" fontId="11" fillId="5" borderId="2" xfId="0" applyFont="1" applyFill="1" applyBorder="1" applyAlignment="1" applyProtection="1">
      <alignment horizontal="right"/>
    </xf>
    <xf numFmtId="0" fontId="11" fillId="5" borderId="22" xfId="0" applyFont="1" applyFill="1" applyBorder="1" applyAlignment="1" applyProtection="1">
      <alignment horizontal="right"/>
    </xf>
    <xf numFmtId="0" fontId="11" fillId="4" borderId="13"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30" xfId="0" applyFont="1" applyFill="1" applyBorder="1" applyAlignment="1" applyProtection="1">
      <alignment horizontal="center" vertical="center"/>
    </xf>
    <xf numFmtId="0" fontId="20" fillId="5" borderId="34" xfId="0" applyFont="1" applyFill="1" applyBorder="1" applyAlignment="1" applyProtection="1">
      <alignment horizontal="right"/>
    </xf>
    <xf numFmtId="0" fontId="11" fillId="4" borderId="14" xfId="0" applyFont="1" applyFill="1" applyBorder="1" applyAlignment="1" applyProtection="1">
      <alignment horizontal="center" vertical="center"/>
    </xf>
    <xf numFmtId="0" fontId="5" fillId="5" borderId="0" xfId="0" applyFont="1" applyFill="1" applyAlignment="1" applyProtection="1">
      <alignment horizontal="right"/>
    </xf>
    <xf numFmtId="0" fontId="5" fillId="5" borderId="4" xfId="0" applyFont="1" applyFill="1" applyBorder="1" applyAlignment="1" applyProtection="1">
      <alignment horizontal="right"/>
    </xf>
    <xf numFmtId="0" fontId="21" fillId="4" borderId="38"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30" xfId="0" applyFont="1" applyFill="1" applyBorder="1" applyAlignment="1" applyProtection="1">
      <alignment horizontal="center" vertical="center"/>
    </xf>
    <xf numFmtId="0" fontId="20" fillId="5" borderId="0" xfId="0" applyFont="1" applyFill="1" applyBorder="1" applyAlignment="1" applyProtection="1">
      <alignment horizontal="right"/>
    </xf>
    <xf numFmtId="0" fontId="21" fillId="4" borderId="13"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11" fillId="5" borderId="21" xfId="0" applyFont="1" applyFill="1" applyBorder="1" applyAlignment="1" applyProtection="1">
      <alignment horizontal="right"/>
    </xf>
    <xf numFmtId="0" fontId="5" fillId="4" borderId="5"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20" fillId="5" borderId="35" xfId="0" applyFont="1" applyFill="1" applyBorder="1" applyAlignment="1" applyProtection="1">
      <alignment horizontal="right"/>
    </xf>
    <xf numFmtId="0" fontId="20" fillId="5" borderId="36" xfId="0" applyFont="1" applyFill="1" applyBorder="1" applyAlignment="1" applyProtection="1">
      <alignment horizontal="right"/>
    </xf>
    <xf numFmtId="0" fontId="11" fillId="5" borderId="23" xfId="0" applyFont="1" applyFill="1" applyBorder="1" applyAlignment="1" applyProtection="1">
      <alignment horizontal="right"/>
    </xf>
    <xf numFmtId="0" fontId="27" fillId="4" borderId="16" xfId="0" applyFont="1" applyFill="1" applyBorder="1" applyAlignment="1" applyProtection="1">
      <alignment horizontal="center" vertical="center"/>
    </xf>
    <xf numFmtId="0" fontId="27" fillId="4" borderId="0" xfId="0" applyFont="1" applyFill="1" applyBorder="1" applyAlignment="1" applyProtection="1">
      <alignment horizontal="center" vertical="center"/>
    </xf>
    <xf numFmtId="0" fontId="21" fillId="4" borderId="0" xfId="0" applyNumberFormat="1"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3" fillId="4" borderId="11" xfId="0" applyFont="1" applyFill="1" applyBorder="1" applyAlignment="1" applyProtection="1">
      <alignment horizontal="center" vertical="center"/>
    </xf>
    <xf numFmtId="0" fontId="9" fillId="3" borderId="3" xfId="0" applyFont="1" applyFill="1" applyBorder="1" applyAlignment="1" applyProtection="1">
      <alignment horizontal="left" vertical="center"/>
    </xf>
    <xf numFmtId="0" fontId="9" fillId="3" borderId="0" xfId="0" applyFont="1" applyFill="1" applyBorder="1" applyAlignment="1" applyProtection="1">
      <alignment horizontal="left" vertical="center"/>
    </xf>
    <xf numFmtId="0" fontId="5" fillId="4" borderId="5"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27" fillId="4" borderId="15"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3" fillId="3" borderId="0" xfId="0" applyFont="1" applyFill="1" applyAlignment="1" applyProtection="1">
      <alignment horizontal="center"/>
    </xf>
    <xf numFmtId="0" fontId="3" fillId="3" borderId="4" xfId="0" applyFont="1" applyFill="1" applyBorder="1" applyAlignment="1" applyProtection="1">
      <alignment horizontal="center"/>
    </xf>
    <xf numFmtId="0" fontId="9" fillId="3" borderId="0" xfId="0" applyFont="1" applyFill="1" applyAlignment="1" applyProtection="1">
      <alignment horizontal="center" vertical="center"/>
    </xf>
    <xf numFmtId="0" fontId="3" fillId="3" borderId="0" xfId="0" applyFont="1" applyFill="1" applyAlignment="1" applyProtection="1">
      <alignment horizontal="center" vertical="center"/>
    </xf>
    <xf numFmtId="0" fontId="3" fillId="3" borderId="4" xfId="0" applyFont="1" applyFill="1" applyBorder="1" applyAlignment="1" applyProtection="1">
      <alignment horizontal="center" vertical="center"/>
    </xf>
    <xf numFmtId="0" fontId="25" fillId="3" borderId="0" xfId="0" applyFont="1" applyFill="1" applyAlignment="1" applyProtection="1">
      <alignment horizontal="left" vertical="center"/>
    </xf>
    <xf numFmtId="0" fontId="25" fillId="3" borderId="4" xfId="0" applyFont="1" applyFill="1" applyBorder="1" applyAlignment="1" applyProtection="1">
      <alignment horizontal="left" vertical="center"/>
    </xf>
    <xf numFmtId="0" fontId="9" fillId="3" borderId="16" xfId="0" applyFont="1" applyFill="1" applyBorder="1" applyAlignment="1" applyProtection="1">
      <alignment horizontal="left" vertical="center"/>
    </xf>
    <xf numFmtId="0" fontId="13" fillId="4" borderId="15"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24" fillId="5" borderId="10" xfId="0" applyFont="1" applyFill="1" applyBorder="1" applyAlignment="1" applyProtection="1">
      <alignment horizontal="right" vertical="center"/>
    </xf>
    <xf numFmtId="0" fontId="24" fillId="5" borderId="11" xfId="0" applyFont="1" applyFill="1" applyBorder="1" applyAlignment="1" applyProtection="1">
      <alignment horizontal="right" vertical="center"/>
    </xf>
    <xf numFmtId="0" fontId="9" fillId="3" borderId="0" xfId="0" applyFont="1" applyFill="1" applyAlignment="1" applyProtection="1">
      <alignment horizontal="left" vertical="center"/>
    </xf>
    <xf numFmtId="0" fontId="9" fillId="3" borderId="4" xfId="0" applyFont="1" applyFill="1" applyBorder="1" applyAlignment="1" applyProtection="1">
      <alignment horizontal="left" vertical="center"/>
    </xf>
    <xf numFmtId="0" fontId="3" fillId="3" borderId="0" xfId="0" applyFont="1" applyFill="1" applyAlignment="1" applyProtection="1">
      <alignment horizontal="left" vertical="center"/>
    </xf>
    <xf numFmtId="0" fontId="9" fillId="3" borderId="0" xfId="0" applyFont="1" applyFill="1" applyAlignment="1" applyProtection="1">
      <alignment horizontal="right" vertical="center"/>
    </xf>
    <xf numFmtId="0" fontId="9" fillId="3" borderId="4" xfId="0" applyFont="1" applyFill="1" applyBorder="1" applyAlignment="1" applyProtection="1">
      <alignment horizontal="right" vertical="center"/>
    </xf>
    <xf numFmtId="0" fontId="3" fillId="3" borderId="0" xfId="0" applyFont="1" applyFill="1" applyBorder="1" applyAlignment="1" applyProtection="1">
      <alignment horizontal="left" vertical="center"/>
    </xf>
    <xf numFmtId="0" fontId="5" fillId="4" borderId="10" xfId="0" applyFont="1" applyFill="1" applyBorder="1" applyAlignment="1" applyProtection="1">
      <alignment horizontal="center"/>
    </xf>
    <xf numFmtId="0" fontId="5" fillId="4" borderId="12" xfId="0" applyFont="1" applyFill="1" applyBorder="1" applyAlignment="1" applyProtection="1">
      <alignment horizontal="center"/>
    </xf>
    <xf numFmtId="0" fontId="5" fillId="4" borderId="11" xfId="0" applyFont="1" applyFill="1" applyBorder="1" applyAlignment="1" applyProtection="1">
      <alignment horizontal="center"/>
    </xf>
    <xf numFmtId="0" fontId="11" fillId="8" borderId="1" xfId="0" applyFont="1" applyFill="1" applyBorder="1" applyAlignment="1">
      <alignment horizontal="center"/>
    </xf>
    <xf numFmtId="0" fontId="3" fillId="2" borderId="1" xfId="0" applyFont="1" applyFill="1" applyBorder="1" applyAlignment="1" applyProtection="1">
      <alignment horizontal="left"/>
      <protection locked="0"/>
    </xf>
    <xf numFmtId="0" fontId="3" fillId="2" borderId="1" xfId="0" applyFont="1" applyFill="1" applyBorder="1" applyAlignment="1" applyProtection="1">
      <alignment horizontal="center"/>
      <protection locked="0"/>
    </xf>
    <xf numFmtId="0" fontId="11" fillId="5" borderId="1" xfId="0" applyFont="1" applyFill="1" applyBorder="1" applyAlignment="1">
      <alignment horizontal="center"/>
    </xf>
    <xf numFmtId="0" fontId="11" fillId="5" borderId="13" xfId="0" applyFont="1" applyFill="1" applyBorder="1" applyAlignment="1">
      <alignment horizontal="right" vertical="center"/>
    </xf>
    <xf numFmtId="0" fontId="11" fillId="5" borderId="8" xfId="0" applyFont="1" applyFill="1" applyBorder="1" applyAlignment="1">
      <alignment horizontal="right" vertical="center"/>
    </xf>
    <xf numFmtId="0" fontId="11" fillId="5" borderId="14" xfId="0" applyFont="1" applyFill="1" applyBorder="1" applyAlignment="1">
      <alignment horizontal="right" vertical="center"/>
    </xf>
    <xf numFmtId="0" fontId="20" fillId="5" borderId="13" xfId="0" applyFont="1" applyFill="1" applyBorder="1" applyAlignment="1">
      <alignment horizontal="left" vertical="center"/>
    </xf>
    <xf numFmtId="0" fontId="20" fillId="5" borderId="8" xfId="0" applyFont="1" applyFill="1" applyBorder="1" applyAlignment="1">
      <alignment horizontal="left" vertical="center"/>
    </xf>
    <xf numFmtId="0" fontId="20" fillId="5" borderId="14" xfId="0" applyFont="1" applyFill="1" applyBorder="1" applyAlignment="1">
      <alignment horizontal="left" vertical="center"/>
    </xf>
    <xf numFmtId="0" fontId="20" fillId="5" borderId="13" xfId="0" applyFont="1" applyFill="1" applyBorder="1" applyAlignment="1">
      <alignment horizontal="right" vertical="center"/>
    </xf>
    <xf numFmtId="0" fontId="20" fillId="5" borderId="8" xfId="0" applyFont="1" applyFill="1" applyBorder="1" applyAlignment="1">
      <alignment horizontal="right" vertical="center"/>
    </xf>
    <xf numFmtId="0" fontId="20" fillId="5" borderId="14" xfId="0" applyFont="1" applyFill="1" applyBorder="1" applyAlignment="1">
      <alignment horizontal="right" vertical="center"/>
    </xf>
    <xf numFmtId="0" fontId="11" fillId="16" borderId="13" xfId="0" applyFont="1" applyFill="1" applyBorder="1" applyAlignment="1">
      <alignment horizontal="center"/>
    </xf>
    <xf numFmtId="0" fontId="11" fillId="16" borderId="8" xfId="0" applyFont="1" applyFill="1" applyBorder="1" applyAlignment="1">
      <alignment horizontal="center"/>
    </xf>
    <xf numFmtId="0" fontId="11" fillId="16" borderId="14" xfId="0" applyFont="1" applyFill="1" applyBorder="1" applyAlignment="1">
      <alignment horizontal="center"/>
    </xf>
    <xf numFmtId="0" fontId="45" fillId="5" borderId="13" xfId="0" applyFont="1" applyFill="1" applyBorder="1" applyAlignment="1">
      <alignment horizontal="right" vertical="center"/>
    </xf>
    <xf numFmtId="0" fontId="45" fillId="5" borderId="8" xfId="0" applyFont="1" applyFill="1" applyBorder="1" applyAlignment="1">
      <alignment horizontal="right" vertical="center"/>
    </xf>
    <xf numFmtId="0" fontId="45" fillId="5" borderId="14" xfId="0" applyFont="1" applyFill="1" applyBorder="1" applyAlignment="1">
      <alignment horizontal="right" vertical="center"/>
    </xf>
    <xf numFmtId="0" fontId="13" fillId="4" borderId="13"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4" xfId="0" applyFont="1" applyFill="1" applyBorder="1" applyAlignment="1">
      <alignment horizontal="center" vertical="center"/>
    </xf>
    <xf numFmtId="0" fontId="11" fillId="5" borderId="1" xfId="0" applyFont="1" applyFill="1" applyBorder="1" applyAlignment="1">
      <alignment horizontal="right" vertical="center"/>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4" xfId="0" applyFont="1" applyFill="1" applyBorder="1" applyAlignment="1">
      <alignment horizontal="center" vertical="center"/>
    </xf>
    <xf numFmtId="0" fontId="20" fillId="5" borderId="1" xfId="0" applyFont="1" applyFill="1" applyBorder="1" applyAlignment="1">
      <alignment horizontal="left" vertical="center"/>
    </xf>
    <xf numFmtId="0" fontId="11" fillId="5" borderId="1" xfId="0" applyFont="1" applyFill="1" applyBorder="1" applyAlignment="1">
      <alignment horizontal="left" vertical="center"/>
    </xf>
    <xf numFmtId="0" fontId="5" fillId="8" borderId="13" xfId="0" applyFont="1" applyFill="1" applyBorder="1" applyAlignment="1">
      <alignment horizontal="center"/>
    </xf>
    <xf numFmtId="0" fontId="5" fillId="8" borderId="8" xfId="0" applyFont="1" applyFill="1" applyBorder="1" applyAlignment="1">
      <alignment horizontal="center"/>
    </xf>
    <xf numFmtId="0" fontId="5" fillId="8" borderId="14" xfId="0" applyFont="1" applyFill="1" applyBorder="1" applyAlignment="1">
      <alignment horizontal="center"/>
    </xf>
    <xf numFmtId="0" fontId="20" fillId="14" borderId="1" xfId="0" applyFont="1" applyFill="1" applyBorder="1" applyAlignment="1">
      <alignment horizontal="left" vertical="center"/>
    </xf>
    <xf numFmtId="0" fontId="5" fillId="4" borderId="1" xfId="0" applyFont="1" applyFill="1" applyBorder="1" applyAlignment="1" applyProtection="1">
      <alignment horizontal="center" vertical="center"/>
    </xf>
    <xf numFmtId="0" fontId="3" fillId="5" borderId="13" xfId="0" applyFont="1" applyFill="1" applyBorder="1" applyAlignment="1" applyProtection="1">
      <alignment horizontal="left"/>
    </xf>
    <xf numFmtId="0" fontId="3" fillId="5" borderId="14" xfId="0" applyFont="1" applyFill="1" applyBorder="1" applyAlignment="1" applyProtection="1">
      <alignment horizontal="left"/>
    </xf>
    <xf numFmtId="0" fontId="43" fillId="5" borderId="29" xfId="0" applyFont="1" applyFill="1" applyBorder="1" applyAlignment="1">
      <alignment horizontal="center" vertical="center"/>
    </xf>
    <xf numFmtId="0" fontId="43" fillId="5" borderId="1" xfId="0" applyFont="1" applyFill="1" applyBorder="1" applyAlignment="1">
      <alignment horizontal="center" vertical="center"/>
    </xf>
    <xf numFmtId="0" fontId="3" fillId="2" borderId="1"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20" fillId="5" borderId="1" xfId="0" applyFont="1" applyFill="1" applyBorder="1" applyAlignment="1" applyProtection="1">
      <alignment horizontal="left" vertical="center"/>
      <protection locked="0"/>
    </xf>
    <xf numFmtId="0" fontId="11" fillId="8" borderId="1" xfId="0" applyFont="1" applyFill="1" applyBorder="1" applyAlignment="1" applyProtection="1">
      <alignment horizontal="center"/>
    </xf>
    <xf numFmtId="0" fontId="20" fillId="5" borderId="1" xfId="0" applyFont="1" applyFill="1" applyBorder="1" applyAlignment="1" applyProtection="1">
      <alignment horizontal="left" vertical="center"/>
    </xf>
    <xf numFmtId="0" fontId="11" fillId="14" borderId="1" xfId="0" applyFont="1" applyFill="1" applyBorder="1" applyAlignment="1" applyProtection="1">
      <alignment horizontal="left" vertical="center"/>
    </xf>
    <xf numFmtId="0" fontId="23" fillId="4" borderId="1" xfId="0" applyFont="1" applyFill="1" applyBorder="1" applyAlignment="1" applyProtection="1">
      <alignment horizontal="center" vertical="center"/>
    </xf>
    <xf numFmtId="0" fontId="23" fillId="4" borderId="13" xfId="0" applyFont="1" applyFill="1" applyBorder="1" applyAlignment="1" applyProtection="1">
      <alignment horizontal="center" vertical="center"/>
    </xf>
    <xf numFmtId="0" fontId="26" fillId="5" borderId="1" xfId="0" applyFont="1" applyFill="1" applyBorder="1" applyAlignment="1" applyProtection="1">
      <alignment horizontal="center" vertical="center"/>
    </xf>
    <xf numFmtId="0" fontId="7" fillId="8" borderId="1" xfId="0" applyFont="1" applyFill="1" applyBorder="1" applyAlignment="1" applyProtection="1">
      <alignment horizontal="center" vertical="center"/>
    </xf>
    <xf numFmtId="0" fontId="5" fillId="8" borderId="1" xfId="0" applyFont="1" applyFill="1" applyBorder="1" applyAlignment="1">
      <alignment horizontal="center"/>
    </xf>
    <xf numFmtId="0" fontId="20" fillId="5" borderId="1" xfId="0" applyFont="1" applyFill="1" applyBorder="1" applyAlignment="1" applyProtection="1">
      <alignment horizontal="left" vertical="top"/>
    </xf>
    <xf numFmtId="0" fontId="42" fillId="4" borderId="19" xfId="0" applyFont="1" applyFill="1" applyBorder="1" applyAlignment="1">
      <alignment horizontal="center" vertical="center"/>
    </xf>
    <xf numFmtId="0" fontId="42" fillId="4" borderId="39" xfId="0" applyFont="1" applyFill="1" applyBorder="1" applyAlignment="1">
      <alignment horizontal="center" vertical="center"/>
    </xf>
    <xf numFmtId="0" fontId="42" fillId="4" borderId="20" xfId="0" applyFont="1" applyFill="1" applyBorder="1" applyAlignment="1">
      <alignment horizontal="center" vertical="center"/>
    </xf>
    <xf numFmtId="0" fontId="11" fillId="5" borderId="1" xfId="0" applyFont="1" applyFill="1" applyBorder="1" applyAlignment="1" applyProtection="1">
      <alignment horizontal="right" vertical="center"/>
    </xf>
    <xf numFmtId="0" fontId="11" fillId="4" borderId="1" xfId="0" applyFont="1" applyFill="1" applyBorder="1" applyAlignment="1" applyProtection="1">
      <alignment horizontal="center" vertical="center"/>
    </xf>
    <xf numFmtId="0" fontId="11" fillId="5" borderId="1" xfId="0" applyFont="1" applyFill="1" applyBorder="1" applyAlignment="1">
      <alignment horizontal="left"/>
    </xf>
    <xf numFmtId="0" fontId="4" fillId="12" borderId="10" xfId="0" applyFont="1" applyFill="1" applyBorder="1" applyAlignment="1" applyProtection="1">
      <alignment horizontal="center" vertical="center"/>
    </xf>
    <xf numFmtId="0" fontId="4" fillId="12" borderId="12" xfId="0" applyFont="1" applyFill="1" applyBorder="1" applyAlignment="1" applyProtection="1">
      <alignment horizontal="center" vertical="center"/>
    </xf>
    <xf numFmtId="0" fontId="4" fillId="12" borderId="11" xfId="0" applyFont="1" applyFill="1" applyBorder="1" applyAlignment="1" applyProtection="1">
      <alignment horizontal="center" vertical="center"/>
    </xf>
    <xf numFmtId="0" fontId="3" fillId="11" borderId="61" xfId="0" applyFont="1" applyFill="1" applyBorder="1" applyAlignment="1" applyProtection="1">
      <alignment horizontal="center" vertical="center"/>
    </xf>
    <xf numFmtId="0" fontId="3" fillId="11" borderId="43" xfId="0" applyFont="1" applyFill="1" applyBorder="1" applyAlignment="1" applyProtection="1">
      <alignment horizontal="center" vertical="center"/>
    </xf>
    <xf numFmtId="0" fontId="3" fillId="11" borderId="27" xfId="0" applyFont="1" applyFill="1" applyBorder="1" applyAlignment="1" applyProtection="1">
      <alignment horizontal="center" vertical="center"/>
    </xf>
    <xf numFmtId="0" fontId="3" fillId="11" borderId="38" xfId="0" applyFont="1" applyFill="1" applyBorder="1" applyAlignment="1" applyProtection="1">
      <alignment horizontal="center" vertical="center"/>
    </xf>
    <xf numFmtId="0" fontId="3" fillId="11" borderId="62" xfId="0" applyFont="1" applyFill="1" applyBorder="1" applyAlignment="1" applyProtection="1">
      <alignment horizontal="center" vertical="center"/>
    </xf>
    <xf numFmtId="0" fontId="3" fillId="11" borderId="13" xfId="0" applyFont="1" applyFill="1" applyBorder="1" applyAlignment="1" applyProtection="1">
      <alignment horizontal="center"/>
    </xf>
    <xf numFmtId="0" fontId="3" fillId="11" borderId="8" xfId="0" applyFont="1" applyFill="1" applyBorder="1" applyAlignment="1" applyProtection="1">
      <alignment horizontal="center"/>
    </xf>
    <xf numFmtId="0" fontId="3" fillId="11" borderId="21" xfId="0" applyFont="1" applyFill="1" applyBorder="1" applyAlignment="1" applyProtection="1">
      <alignment horizontal="center"/>
    </xf>
    <xf numFmtId="0" fontId="38" fillId="10" borderId="0" xfId="0" applyFont="1" applyFill="1" applyBorder="1" applyAlignment="1" applyProtection="1">
      <alignment horizontal="left"/>
    </xf>
    <xf numFmtId="0" fontId="35" fillId="0" borderId="0" xfId="0" applyFont="1" applyAlignment="1" applyProtection="1">
      <alignment horizontal="left"/>
    </xf>
    <xf numFmtId="0" fontId="4" fillId="4" borderId="10"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34" fillId="10" borderId="60" xfId="0" applyFont="1" applyFill="1" applyBorder="1" applyAlignment="1" applyProtection="1">
      <alignment horizontal="right"/>
    </xf>
    <xf numFmtId="0" fontId="34" fillId="10" borderId="59" xfId="0" applyFont="1" applyFill="1" applyBorder="1" applyAlignment="1" applyProtection="1">
      <alignment horizontal="right"/>
    </xf>
    <xf numFmtId="0" fontId="34" fillId="10" borderId="58" xfId="0" applyFont="1" applyFill="1" applyBorder="1" applyAlignment="1" applyProtection="1">
      <alignment horizontal="right"/>
    </xf>
    <xf numFmtId="0" fontId="3" fillId="4" borderId="12" xfId="0" applyFont="1" applyFill="1" applyBorder="1" applyAlignment="1" applyProtection="1">
      <alignment horizontal="center" vertical="center"/>
    </xf>
    <xf numFmtId="0" fontId="35" fillId="10" borderId="52" xfId="0" applyFont="1" applyFill="1" applyBorder="1" applyAlignment="1" applyProtection="1">
      <alignment horizontal="left"/>
      <protection locked="0"/>
    </xf>
    <xf numFmtId="0" fontId="35" fillId="10" borderId="51" xfId="0" applyFont="1" applyFill="1" applyBorder="1" applyAlignment="1" applyProtection="1">
      <alignment horizontal="left"/>
      <protection locked="0"/>
    </xf>
  </cellXfs>
  <cellStyles count="3">
    <cellStyle name="Currency" xfId="2" builtinId="4"/>
    <cellStyle name="Hyperlink" xfId="1" builtinId="8"/>
    <cellStyle name="Normal" xfId="0" builtinId="0"/>
  </cellStyles>
  <dxfs count="6">
    <dxf>
      <font>
        <condense val="0"/>
        <extend val="0"/>
        <color auto="1"/>
      </font>
      <fill>
        <patternFill>
          <bgColor indexed="26"/>
        </patternFill>
      </fill>
    </dxf>
    <dxf>
      <font>
        <condense val="0"/>
        <extend val="0"/>
        <color auto="1"/>
      </font>
      <fill>
        <patternFill patternType="solid">
          <bgColor indexed="26"/>
        </patternFill>
      </fill>
      <border>
        <left/>
        <right/>
        <top/>
        <bottom style="thin">
          <color indexed="22"/>
        </bottom>
      </border>
    </dxf>
    <dxf>
      <font>
        <condense val="0"/>
        <extend val="0"/>
        <color indexed="9"/>
      </font>
      <fill>
        <patternFill patternType="solid">
          <bgColor indexed="9"/>
        </patternFill>
      </fill>
    </dxf>
    <dxf>
      <font>
        <condense val="0"/>
        <extend val="0"/>
        <color auto="1"/>
      </font>
      <fill>
        <patternFill>
          <bgColor indexed="26"/>
        </patternFill>
      </fill>
    </dxf>
    <dxf>
      <font>
        <condense val="0"/>
        <extend val="0"/>
        <color auto="1"/>
      </font>
      <fill>
        <patternFill patternType="solid">
          <bgColor indexed="26"/>
        </patternFill>
      </fill>
      <border>
        <left/>
        <right/>
        <top/>
        <bottom style="thin">
          <color indexed="22"/>
        </bottom>
      </border>
    </dxf>
    <dxf>
      <font>
        <condense val="0"/>
        <extend val="0"/>
        <color indexed="9"/>
      </font>
      <fill>
        <patternFill patternType="solid">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19049</xdr:colOff>
      <xdr:row>33</xdr:row>
      <xdr:rowOff>0</xdr:rowOff>
    </xdr:from>
    <xdr:ext cx="5819775" cy="1143000"/>
    <xdr:sp macro="" textlink="">
      <xdr:nvSpPr>
        <xdr:cNvPr id="2" name="TextBox 1">
          <a:extLst>
            <a:ext uri="{FF2B5EF4-FFF2-40B4-BE49-F238E27FC236}">
              <a16:creationId xmlns:a16="http://schemas.microsoft.com/office/drawing/2014/main" id="{9BEC02BB-0F0D-46CA-A2CC-5C29BA16D332}"/>
            </a:ext>
          </a:extLst>
        </xdr:cNvPr>
        <xdr:cNvSpPr txBox="1"/>
      </xdr:nvSpPr>
      <xdr:spPr>
        <a:xfrm>
          <a:off x="19049" y="6467475"/>
          <a:ext cx="5819775" cy="11430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i="0" u="sng" strike="noStrike">
              <a:solidFill>
                <a:sysClr val="windowText" lastClr="000000"/>
              </a:solidFill>
              <a:effectLst/>
              <a:latin typeface="+mn-lt"/>
              <a:ea typeface="+mn-ea"/>
              <a:cs typeface="+mn-cs"/>
            </a:rPr>
            <a:t>Comments</a:t>
          </a:r>
          <a:r>
            <a:rPr lang="en-US" sz="1100" b="0" i="0" u="none" strike="noStrike">
              <a:solidFill>
                <a:sysClr val="windowText" lastClr="000000"/>
              </a:solidFill>
              <a:effectLst/>
              <a:latin typeface="+mn-lt"/>
              <a:ea typeface="+mn-ea"/>
              <a:cs typeface="+mn-cs"/>
            </a:rPr>
            <a:t>:  </a:t>
          </a:r>
          <a:endParaRPr lang="en-US" sz="1100">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38098</xdr:rowOff>
    </xdr:from>
    <xdr:to>
      <xdr:col>10</xdr:col>
      <xdr:colOff>0</xdr:colOff>
      <xdr:row>3</xdr:row>
      <xdr:rowOff>857250</xdr:rowOff>
    </xdr:to>
    <xdr:sp macro="" textlink="">
      <xdr:nvSpPr>
        <xdr:cNvPr id="2" name="Text 10">
          <a:extLst>
            <a:ext uri="{FF2B5EF4-FFF2-40B4-BE49-F238E27FC236}">
              <a16:creationId xmlns:a16="http://schemas.microsoft.com/office/drawing/2014/main" id="{DB311046-BBAC-4A90-BED2-9790C235F5E5}"/>
            </a:ext>
          </a:extLst>
        </xdr:cNvPr>
        <xdr:cNvSpPr txBox="1">
          <a:spLocks noChangeArrowheads="1"/>
        </xdr:cNvSpPr>
      </xdr:nvSpPr>
      <xdr:spPr bwMode="auto">
        <a:xfrm>
          <a:off x="9525" y="914398"/>
          <a:ext cx="6819900" cy="819152"/>
        </a:xfrm>
        <a:prstGeom prst="rect">
          <a:avLst/>
        </a:prstGeom>
        <a:solidFill>
          <a:srgbClr val="FFFF00">
            <a:alpha val="92000"/>
          </a:srgbClr>
        </a:solidFill>
        <a:ln w="9525">
          <a:solidFill>
            <a:srgbClr val="000000"/>
          </a:solidFill>
          <a:prstDash val="solid"/>
          <a:miter lim="800000"/>
          <a:headEnd/>
          <a:tailEnd/>
        </a:ln>
      </xdr:spPr>
      <xdr:txBody>
        <a:bodyPr vertOverflow="clip" wrap="square" lIns="27432" tIns="22860" rIns="0" bIns="0" anchor="t" upright="1"/>
        <a:lstStyle/>
        <a:p>
          <a:pPr algn="l" rtl="0">
            <a:defRPr sz="1000"/>
          </a:pPr>
          <a:r>
            <a:rPr lang="en-US" sz="1000" b="0" i="0" u="sng" strike="noStrike">
              <a:solidFill>
                <a:sysClr val="windowText" lastClr="000000"/>
              </a:solidFill>
              <a:latin typeface="Arial"/>
              <a:cs typeface="Arial"/>
            </a:rPr>
            <a:t>Comments:</a:t>
          </a:r>
          <a:r>
            <a:rPr lang="en-US" sz="1000" b="0" i="0" strike="noStrike">
              <a:solidFill>
                <a:sysClr val="windowText" lastClr="000000"/>
              </a:solidFill>
              <a:latin typeface="Arial"/>
              <a:cs typeface="Arial"/>
            </a:rPr>
            <a:t> All applicable</a:t>
          </a:r>
          <a:r>
            <a:rPr lang="en-US" sz="1000" b="0" i="0" strike="noStrike" baseline="0">
              <a:solidFill>
                <a:sysClr val="windowText" lastClr="000000"/>
              </a:solidFill>
              <a:latin typeface="Arial"/>
              <a:cs typeface="Arial"/>
            </a:rPr>
            <a:t> questions below must be answered before the calculation fields will populate.</a:t>
          </a:r>
          <a:r>
            <a:rPr lang="en-US" sz="1000" b="0" i="0" strike="noStrike">
              <a:solidFill>
                <a:sysClr val="windowText" lastClr="000000"/>
              </a:solidFill>
              <a:latin typeface="Arial"/>
              <a:cs typeface="Arial"/>
            </a:rPr>
            <a:t> The $ amount of principal forgiveness awarded must be entered into the appropriate field befow before</a:t>
          </a:r>
          <a:r>
            <a:rPr lang="en-US" sz="1000" b="0" i="0" strike="noStrike" baseline="0">
              <a:solidFill>
                <a:sysClr val="windowText" lastClr="000000"/>
              </a:solidFill>
              <a:latin typeface="Arial"/>
              <a:cs typeface="Arial"/>
            </a:rPr>
            <a:t> the principal forgiveness calculation fields will populate.</a:t>
          </a:r>
          <a:endParaRPr lang="en-US" sz="1000" b="0" i="0" strike="noStrike">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47624</xdr:rowOff>
    </xdr:from>
    <xdr:to>
      <xdr:col>7</xdr:col>
      <xdr:colOff>0</xdr:colOff>
      <xdr:row>4</xdr:row>
      <xdr:rowOff>219075</xdr:rowOff>
    </xdr:to>
    <xdr:sp macro="" textlink="">
      <xdr:nvSpPr>
        <xdr:cNvPr id="2058" name="Text 10">
          <a:extLst>
            <a:ext uri="{FF2B5EF4-FFF2-40B4-BE49-F238E27FC236}">
              <a16:creationId xmlns:a16="http://schemas.microsoft.com/office/drawing/2014/main" id="{00000000-0008-0000-0100-00000A080000}"/>
            </a:ext>
          </a:extLst>
        </xdr:cNvPr>
        <xdr:cNvSpPr txBox="1">
          <a:spLocks noChangeArrowheads="1"/>
        </xdr:cNvSpPr>
      </xdr:nvSpPr>
      <xdr:spPr bwMode="auto">
        <a:xfrm>
          <a:off x="9525" y="923924"/>
          <a:ext cx="5943600" cy="781051"/>
        </a:xfrm>
        <a:prstGeom prst="rect">
          <a:avLst/>
        </a:prstGeom>
        <a:solidFill>
          <a:srgbClr val="FFFF00"/>
        </a:solidFill>
        <a:ln w="9525">
          <a:solidFill>
            <a:srgbClr val="000000"/>
          </a:solidFill>
          <a:prstDash val="solid"/>
          <a:miter lim="800000"/>
          <a:headEnd/>
          <a:tailEnd/>
        </a:ln>
      </xdr:spPr>
      <xdr:txBody>
        <a:bodyPr vertOverflow="clip" wrap="square" lIns="27432" tIns="22860" rIns="0" bIns="0" anchor="t" upright="1"/>
        <a:lstStyle/>
        <a:p>
          <a:pPr algn="l" rtl="0">
            <a:defRPr sz="1000"/>
          </a:pPr>
          <a:r>
            <a:rPr lang="en-US" sz="1000" b="0" i="0" u="sng" strike="noStrike">
              <a:solidFill>
                <a:sysClr val="windowText" lastClr="000000"/>
              </a:solidFill>
              <a:latin typeface="Arial"/>
              <a:cs typeface="Arial"/>
            </a:rPr>
            <a:t>Comments:</a:t>
          </a:r>
          <a:r>
            <a:rPr lang="en-US" sz="1000" b="0" i="0" strike="noStrike">
              <a:solidFill>
                <a:sysClr val="windowText" lastClr="000000"/>
              </a:solidFill>
              <a:latin typeface="Arial"/>
              <a:cs typeface="Arial"/>
            </a:rPr>
            <a:t> </a:t>
          </a:r>
          <a:r>
            <a:rPr lang="en-US" sz="1000" b="0" i="0">
              <a:effectLst/>
              <a:latin typeface="Arial" panose="020B0604020202020204" pitchFamily="34" charset="0"/>
              <a:ea typeface="+mn-ea"/>
              <a:cs typeface="Arial" panose="020B0604020202020204" pitchFamily="34" charset="0"/>
            </a:rPr>
            <a:t>All applicable</a:t>
          </a:r>
          <a:r>
            <a:rPr lang="en-US" sz="1000" b="0" i="0" baseline="0">
              <a:effectLst/>
              <a:latin typeface="Arial" panose="020B0604020202020204" pitchFamily="34" charset="0"/>
              <a:ea typeface="+mn-ea"/>
              <a:cs typeface="Arial" panose="020B0604020202020204" pitchFamily="34" charset="0"/>
            </a:rPr>
            <a:t> questions below must be answered before the calculation fields will populate.</a:t>
          </a:r>
          <a:r>
            <a:rPr lang="en-US" sz="1000" b="0" i="0">
              <a:effectLst/>
              <a:latin typeface="Arial" panose="020B0604020202020204" pitchFamily="34" charset="0"/>
              <a:ea typeface="+mn-ea"/>
              <a:cs typeface="Arial" panose="020B0604020202020204" pitchFamily="34" charset="0"/>
            </a:rPr>
            <a:t> The $ amount of principal forgiveness awarded must be entered into the appropriate field befow before</a:t>
          </a:r>
          <a:r>
            <a:rPr lang="en-US" sz="1000" b="0" i="0" baseline="0">
              <a:effectLst/>
              <a:latin typeface="Arial" panose="020B0604020202020204" pitchFamily="34" charset="0"/>
              <a:ea typeface="+mn-ea"/>
              <a:cs typeface="Arial" panose="020B0604020202020204" pitchFamily="34" charset="0"/>
            </a:rPr>
            <a:t> the principal forgiveness calculation fields will populate.</a:t>
          </a:r>
          <a:endParaRPr lang="en-US" sz="1000" b="0" i="0" strike="no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47624</xdr:rowOff>
    </xdr:from>
    <xdr:to>
      <xdr:col>8</xdr:col>
      <xdr:colOff>0</xdr:colOff>
      <xdr:row>3</xdr:row>
      <xdr:rowOff>847725</xdr:rowOff>
    </xdr:to>
    <xdr:sp macro="" textlink="">
      <xdr:nvSpPr>
        <xdr:cNvPr id="2" name="Text 10">
          <a:extLst>
            <a:ext uri="{FF2B5EF4-FFF2-40B4-BE49-F238E27FC236}">
              <a16:creationId xmlns:a16="http://schemas.microsoft.com/office/drawing/2014/main" id="{7EF2CD00-592E-4D96-B8AE-48F5B62ABEC2}"/>
            </a:ext>
          </a:extLst>
        </xdr:cNvPr>
        <xdr:cNvSpPr txBox="1">
          <a:spLocks noChangeArrowheads="1"/>
        </xdr:cNvSpPr>
      </xdr:nvSpPr>
      <xdr:spPr bwMode="auto">
        <a:xfrm>
          <a:off x="9525" y="923924"/>
          <a:ext cx="6143625" cy="800101"/>
        </a:xfrm>
        <a:prstGeom prst="rect">
          <a:avLst/>
        </a:prstGeom>
        <a:solidFill>
          <a:srgbClr val="FFFF00"/>
        </a:solidFill>
        <a:ln w="9525">
          <a:solidFill>
            <a:srgbClr val="000000"/>
          </a:solidFill>
          <a:prstDash val="solid"/>
          <a:miter lim="800000"/>
          <a:headEnd/>
          <a:tailEnd/>
        </a:ln>
      </xdr:spPr>
      <xdr:txBody>
        <a:bodyPr vertOverflow="clip" wrap="square" lIns="27432" tIns="22860" rIns="0" bIns="0" anchor="t" upright="1"/>
        <a:lstStyle/>
        <a:p>
          <a:pPr algn="l" rtl="0">
            <a:defRPr sz="1000"/>
          </a:pPr>
          <a:r>
            <a:rPr lang="en-US" sz="1000" b="0" i="0" u="sng" strike="noStrike">
              <a:solidFill>
                <a:sysClr val="windowText" lastClr="000000"/>
              </a:solidFill>
              <a:latin typeface="Arial"/>
              <a:cs typeface="Arial"/>
            </a:rPr>
            <a:t>Comments:</a:t>
          </a:r>
          <a:r>
            <a:rPr lang="en-US" sz="1000" b="0" i="0" strike="noStrike">
              <a:solidFill>
                <a:sysClr val="windowText" lastClr="000000"/>
              </a:solidFill>
              <a:latin typeface="Arial"/>
              <a:cs typeface="Arial"/>
            </a:rPr>
            <a:t>  </a:t>
          </a:r>
          <a:r>
            <a:rPr lang="en-US" sz="1000" b="0" i="0">
              <a:effectLst/>
              <a:latin typeface="Arial" panose="020B0604020202020204" pitchFamily="34" charset="0"/>
              <a:ea typeface="+mn-ea"/>
              <a:cs typeface="Arial" panose="020B0604020202020204" pitchFamily="34" charset="0"/>
            </a:rPr>
            <a:t>All applicable</a:t>
          </a:r>
          <a:r>
            <a:rPr lang="en-US" sz="1000" b="0" i="0" baseline="0">
              <a:effectLst/>
              <a:latin typeface="Arial" panose="020B0604020202020204" pitchFamily="34" charset="0"/>
              <a:ea typeface="+mn-ea"/>
              <a:cs typeface="Arial" panose="020B0604020202020204" pitchFamily="34" charset="0"/>
            </a:rPr>
            <a:t> questions below must be answered before the calculation fields will populate.</a:t>
          </a:r>
          <a:r>
            <a:rPr lang="en-US" sz="1000" b="0" i="0">
              <a:effectLst/>
              <a:latin typeface="Arial" panose="020B0604020202020204" pitchFamily="34" charset="0"/>
              <a:ea typeface="+mn-ea"/>
              <a:cs typeface="Arial" panose="020B0604020202020204" pitchFamily="34" charset="0"/>
            </a:rPr>
            <a:t> The $ amount of principal forgiveness awarded for an increase must be entered into the appropriate field befow before</a:t>
          </a:r>
          <a:r>
            <a:rPr lang="en-US" sz="1000" b="0" i="0" baseline="0">
              <a:effectLst/>
              <a:latin typeface="Arial" panose="020B0604020202020204" pitchFamily="34" charset="0"/>
              <a:ea typeface="+mn-ea"/>
              <a:cs typeface="Arial" panose="020B0604020202020204" pitchFamily="34" charset="0"/>
            </a:rPr>
            <a:t> the principal forgiveness calculation fields will populate. </a:t>
          </a:r>
          <a:r>
            <a:rPr lang="en-US" sz="1000" b="0" i="0">
              <a:effectLst/>
              <a:latin typeface="Arial" panose="020B0604020202020204" pitchFamily="34" charset="0"/>
              <a:ea typeface="+mn-ea"/>
              <a:cs typeface="Arial" panose="020B0604020202020204" pitchFamily="34" charset="0"/>
            </a:rPr>
            <a:t>Contingency from original construction cost sheet will be reduced from 10% to 5% of bid costs, and will be reflected in contingency of cost increase as a positive or negative value;</a:t>
          </a:r>
          <a:r>
            <a:rPr lang="en-US" sz="1000" b="0" i="0" baseline="0">
              <a:effectLst/>
              <a:latin typeface="Arial" panose="020B0604020202020204" pitchFamily="34" charset="0"/>
              <a:ea typeface="+mn-ea"/>
              <a:cs typeface="Arial" panose="020B0604020202020204" pitchFamily="34" charset="0"/>
            </a:rPr>
            <a:t> </a:t>
          </a:r>
          <a:r>
            <a:rPr lang="en-US" sz="1000" b="0" i="0">
              <a:effectLst/>
              <a:latin typeface="Arial" panose="020B0604020202020204" pitchFamily="34" charset="0"/>
              <a:ea typeface="+mn-ea"/>
              <a:cs typeface="Arial" panose="020B0604020202020204" pitchFamily="34" charset="0"/>
            </a:rPr>
            <a:t>but the original $ amount of principal forgiveness awarded does not change. </a:t>
          </a:r>
          <a:endParaRPr lang="en-US" sz="1000" b="0" i="0" strike="noStrike">
            <a:solidFill>
              <a:srgbClr val="FF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
  <sheetViews>
    <sheetView zoomScaleNormal="100" workbookViewId="0">
      <selection activeCell="C4" sqref="C4:D4"/>
    </sheetView>
  </sheetViews>
  <sheetFormatPr defaultRowHeight="12.75" x14ac:dyDescent="0.2"/>
  <cols>
    <col min="1" max="1" width="12.140625" style="3" customWidth="1"/>
    <col min="2" max="2" width="11.42578125" style="3" customWidth="1"/>
    <col min="3" max="3" width="12.7109375" style="3" bestFit="1" customWidth="1"/>
    <col min="4" max="4" width="13.42578125" style="3" bestFit="1" customWidth="1"/>
    <col min="5" max="6" width="12.7109375" style="3" bestFit="1" customWidth="1"/>
    <col min="7" max="7" width="7.140625" style="3" customWidth="1"/>
    <col min="8" max="9" width="9.7109375" style="3" customWidth="1"/>
    <col min="10" max="16384" width="9.140625" style="3"/>
  </cols>
  <sheetData>
    <row r="1" spans="1:15" ht="30" customHeight="1" x14ac:dyDescent="0.2">
      <c r="A1" s="421" t="s">
        <v>141</v>
      </c>
      <c r="B1" s="421"/>
      <c r="C1" s="421"/>
      <c r="D1" s="421"/>
      <c r="E1" s="421"/>
      <c r="F1" s="421"/>
      <c r="G1" s="421"/>
      <c r="H1" s="421"/>
      <c r="I1" s="112"/>
    </row>
    <row r="2" spans="1:15" ht="13.5" customHeight="1" thickBot="1" x14ac:dyDescent="0.25">
      <c r="A2" s="141"/>
      <c r="B2" s="141"/>
      <c r="C2" s="141"/>
      <c r="D2" s="141"/>
      <c r="E2" s="141"/>
      <c r="F2" s="141"/>
      <c r="G2" s="141"/>
      <c r="H2" s="141"/>
      <c r="I2" s="112"/>
    </row>
    <row r="3" spans="1:15" ht="18.95" customHeight="1" thickBot="1" x14ac:dyDescent="0.3">
      <c r="A3" s="424" t="s">
        <v>13</v>
      </c>
      <c r="B3" s="424"/>
      <c r="C3" s="427"/>
      <c r="D3" s="428"/>
      <c r="E3" s="428"/>
      <c r="F3" s="429"/>
      <c r="G3" s="419" t="s">
        <v>15</v>
      </c>
      <c r="H3" s="420"/>
      <c r="I3" s="12"/>
    </row>
    <row r="4" spans="1:15" ht="18.95" customHeight="1" thickBot="1" x14ac:dyDescent="0.3">
      <c r="A4" s="424" t="s">
        <v>14</v>
      </c>
      <c r="B4" s="424"/>
      <c r="C4" s="425"/>
      <c r="D4" s="426"/>
      <c r="G4" s="422" t="s">
        <v>16</v>
      </c>
      <c r="H4" s="423"/>
      <c r="I4" s="12"/>
    </row>
    <row r="5" spans="1:15" s="12" customFormat="1" ht="18.75" thickBot="1" x14ac:dyDescent="0.3">
      <c r="A5" s="113"/>
      <c r="B5" s="113"/>
      <c r="C5" s="142"/>
      <c r="D5" s="142"/>
      <c r="G5" s="143"/>
      <c r="H5" s="143"/>
    </row>
    <row r="6" spans="1:15" ht="12.75" customHeight="1" x14ac:dyDescent="0.2">
      <c r="A6" s="410" t="s">
        <v>274</v>
      </c>
      <c r="B6" s="411"/>
      <c r="C6" s="411"/>
      <c r="D6" s="411"/>
      <c r="E6" s="411"/>
      <c r="F6" s="411"/>
      <c r="G6" s="411"/>
      <c r="H6" s="412"/>
      <c r="I6" s="114"/>
    </row>
    <row r="7" spans="1:15" ht="12.75" customHeight="1" x14ac:dyDescent="0.2">
      <c r="A7" s="413"/>
      <c r="B7" s="414"/>
      <c r="C7" s="414"/>
      <c r="D7" s="414"/>
      <c r="E7" s="414"/>
      <c r="F7" s="414"/>
      <c r="G7" s="414"/>
      <c r="H7" s="415"/>
      <c r="I7" s="114"/>
    </row>
    <row r="8" spans="1:15" ht="17.25" customHeight="1" x14ac:dyDescent="0.2">
      <c r="A8" s="413"/>
      <c r="B8" s="414"/>
      <c r="C8" s="414"/>
      <c r="D8" s="414"/>
      <c r="E8" s="414"/>
      <c r="F8" s="414"/>
      <c r="G8" s="414"/>
      <c r="H8" s="415"/>
      <c r="I8" s="114"/>
    </row>
    <row r="9" spans="1:15" ht="12.75" customHeight="1" x14ac:dyDescent="0.2">
      <c r="A9" s="413"/>
      <c r="B9" s="414"/>
      <c r="C9" s="414"/>
      <c r="D9" s="414"/>
      <c r="E9" s="414"/>
      <c r="F9" s="414"/>
      <c r="G9" s="414"/>
      <c r="H9" s="415"/>
      <c r="I9" s="114"/>
      <c r="J9" s="115"/>
      <c r="K9" s="115"/>
    </row>
    <row r="10" spans="1:15" ht="12.75" customHeight="1" x14ac:dyDescent="0.2">
      <c r="A10" s="413"/>
      <c r="B10" s="414"/>
      <c r="C10" s="414"/>
      <c r="D10" s="414"/>
      <c r="E10" s="414"/>
      <c r="F10" s="414"/>
      <c r="G10" s="414"/>
      <c r="H10" s="415"/>
      <c r="I10" s="114"/>
      <c r="J10" s="115"/>
      <c r="K10" s="115"/>
    </row>
    <row r="11" spans="1:15" ht="12.75" customHeight="1" x14ac:dyDescent="0.2">
      <c r="A11" s="413"/>
      <c r="B11" s="414"/>
      <c r="C11" s="414"/>
      <c r="D11" s="414"/>
      <c r="E11" s="414"/>
      <c r="F11" s="414"/>
      <c r="G11" s="414"/>
      <c r="H11" s="415"/>
      <c r="I11" s="114"/>
      <c r="J11" s="115"/>
      <c r="K11" s="115"/>
    </row>
    <row r="12" spans="1:15" ht="18" customHeight="1" thickBot="1" x14ac:dyDescent="0.25">
      <c r="A12" s="416"/>
      <c r="B12" s="417"/>
      <c r="C12" s="417"/>
      <c r="D12" s="417"/>
      <c r="E12" s="417"/>
      <c r="F12" s="417"/>
      <c r="G12" s="417"/>
      <c r="H12" s="418"/>
      <c r="I12" s="114"/>
      <c r="J12" s="115"/>
      <c r="K12" s="115"/>
    </row>
    <row r="13" spans="1:15" ht="13.5" customHeight="1" x14ac:dyDescent="0.2">
      <c r="A13" s="137"/>
      <c r="B13" s="137"/>
      <c r="C13" s="137"/>
      <c r="D13" s="137"/>
      <c r="E13" s="137"/>
      <c r="F13" s="137"/>
      <c r="G13" s="137"/>
      <c r="H13" s="137"/>
      <c r="I13" s="114"/>
      <c r="J13" s="115"/>
      <c r="K13" s="115"/>
    </row>
    <row r="14" spans="1:15" ht="13.5" customHeight="1" thickBot="1" x14ac:dyDescent="0.25">
      <c r="A14" s="114"/>
      <c r="B14" s="114"/>
      <c r="C14" s="114"/>
      <c r="D14" s="114"/>
      <c r="E14" s="114"/>
      <c r="F14" s="114"/>
      <c r="G14" s="114"/>
      <c r="H14" s="114"/>
      <c r="I14" s="114"/>
      <c r="J14" s="115"/>
      <c r="K14" s="115"/>
    </row>
    <row r="15" spans="1:15" ht="18.75" customHeight="1" x14ac:dyDescent="0.2">
      <c r="B15" s="437" t="s">
        <v>149</v>
      </c>
      <c r="C15" s="438"/>
      <c r="D15" s="438"/>
      <c r="E15" s="438"/>
      <c r="F15" s="439"/>
    </row>
    <row r="16" spans="1:15" ht="15" customHeight="1" x14ac:dyDescent="0.2">
      <c r="B16" s="440" t="s">
        <v>150</v>
      </c>
      <c r="C16" s="441"/>
      <c r="D16" s="441"/>
      <c r="E16" s="441"/>
      <c r="F16" s="150">
        <f>'Priority Score &amp; PF%'!$H$6</f>
        <v>0</v>
      </c>
      <c r="I16" s="430" t="s">
        <v>172</v>
      </c>
      <c r="J16" s="430"/>
      <c r="K16" s="430"/>
      <c r="L16" s="430"/>
      <c r="M16" s="430"/>
      <c r="N16" s="430"/>
      <c r="O16" s="430"/>
    </row>
    <row r="17" spans="1:17" ht="15" customHeight="1" x14ac:dyDescent="0.2">
      <c r="B17" s="440" t="s">
        <v>151</v>
      </c>
      <c r="C17" s="441"/>
      <c r="D17" s="441"/>
      <c r="E17" s="441"/>
      <c r="F17" s="151">
        <f>'Priority Score &amp; PF%'!$H$11</f>
        <v>0</v>
      </c>
    </row>
    <row r="18" spans="1:17" ht="15" customHeight="1" x14ac:dyDescent="0.2">
      <c r="B18" s="434" t="s">
        <v>156</v>
      </c>
      <c r="C18" s="435"/>
      <c r="D18" s="435"/>
      <c r="E18" s="436"/>
      <c r="F18" s="151">
        <f>'Priority Score &amp; PF%'!$G$45</f>
        <v>0</v>
      </c>
    </row>
    <row r="19" spans="1:17" ht="15" customHeight="1" x14ac:dyDescent="0.2">
      <c r="B19" s="440" t="s">
        <v>211</v>
      </c>
      <c r="C19" s="441"/>
      <c r="D19" s="441"/>
      <c r="E19" s="441"/>
      <c r="F19" s="152">
        <f>'Priority Score &amp; PF%'!$I$23</f>
        <v>0</v>
      </c>
    </row>
    <row r="20" spans="1:17" ht="15" customHeight="1" x14ac:dyDescent="0.2">
      <c r="B20" s="440" t="s">
        <v>155</v>
      </c>
      <c r="C20" s="441"/>
      <c r="D20" s="441"/>
      <c r="E20" s="441"/>
      <c r="F20" s="152" t="str">
        <f>'Interest Rate'!$I$20</f>
        <v/>
      </c>
      <c r="I20" s="430" t="s">
        <v>173</v>
      </c>
      <c r="J20" s="430"/>
      <c r="K20" s="430"/>
      <c r="L20" s="430"/>
      <c r="M20" s="430"/>
    </row>
    <row r="21" spans="1:17" ht="15" customHeight="1" x14ac:dyDescent="0.2">
      <c r="B21" s="442" t="s">
        <v>212</v>
      </c>
      <c r="C21" s="443"/>
      <c r="D21" s="443"/>
      <c r="E21" s="443"/>
      <c r="F21" s="152">
        <f>'Priority Score &amp; PF%'!$I$24</f>
        <v>0</v>
      </c>
    </row>
    <row r="22" spans="1:17" ht="15" customHeight="1" x14ac:dyDescent="0.2">
      <c r="B22" s="140"/>
      <c r="C22" s="435" t="s">
        <v>213</v>
      </c>
      <c r="D22" s="435"/>
      <c r="E22" s="436"/>
      <c r="F22" s="153">
        <f>IF('Construction Cost Increase'!$H$48&gt;0,'Construction Cost Increase'!$H$48,' Construction Cost'!$G$27)</f>
        <v>0</v>
      </c>
      <c r="I22" s="430" t="s">
        <v>187</v>
      </c>
      <c r="J22" s="430"/>
      <c r="K22" s="430"/>
      <c r="L22" s="430"/>
      <c r="M22" s="430"/>
      <c r="N22" s="430"/>
      <c r="O22" s="430"/>
    </row>
    <row r="23" spans="1:17" ht="15" customHeight="1" x14ac:dyDescent="0.2">
      <c r="B23" s="444" t="s">
        <v>214</v>
      </c>
      <c r="C23" s="445"/>
      <c r="D23" s="445"/>
      <c r="E23" s="445"/>
      <c r="F23" s="152" t="str">
        <f>'Interest Rate'!$I$43</f>
        <v/>
      </c>
    </row>
    <row r="24" spans="1:17" x14ac:dyDescent="0.2">
      <c r="B24" s="99"/>
      <c r="C24" s="134"/>
      <c r="D24" s="134"/>
      <c r="E24" s="134"/>
      <c r="F24" s="135"/>
    </row>
    <row r="25" spans="1:17" ht="16.5" customHeight="1" x14ac:dyDescent="0.2">
      <c r="A25" s="12"/>
      <c r="B25" s="133"/>
      <c r="C25" s="431" t="s">
        <v>76</v>
      </c>
      <c r="D25" s="432"/>
      <c r="E25" s="433"/>
      <c r="F25" s="136"/>
    </row>
    <row r="26" spans="1:17" x14ac:dyDescent="0.2">
      <c r="B26" s="133"/>
      <c r="C26" s="172" t="s">
        <v>4</v>
      </c>
      <c r="D26" s="172" t="s">
        <v>154</v>
      </c>
      <c r="E26" s="172" t="s">
        <v>8</v>
      </c>
      <c r="F26" s="173" t="s">
        <v>6</v>
      </c>
    </row>
    <row r="27" spans="1:17" ht="15" customHeight="1" x14ac:dyDescent="0.2">
      <c r="B27" s="169" t="s">
        <v>70</v>
      </c>
      <c r="C27" s="65">
        <f>IF($F$27&gt;0,' Planning &amp; Design Cost'!$C$27,0)</f>
        <v>0</v>
      </c>
      <c r="D27" s="65">
        <f>' Planning &amp; Design Cost'!$H$26</f>
        <v>0</v>
      </c>
      <c r="E27" s="65">
        <f>' Planning &amp; Design Cost'!$I$26</f>
        <v>0</v>
      </c>
      <c r="F27" s="150">
        <f>' Planning &amp; Design Cost'!$J$26</f>
        <v>0</v>
      </c>
      <c r="I27" s="430" t="s">
        <v>184</v>
      </c>
      <c r="J27" s="430"/>
      <c r="K27" s="430"/>
      <c r="L27" s="430"/>
      <c r="M27" s="430"/>
      <c r="N27" s="430"/>
      <c r="O27" s="430"/>
    </row>
    <row r="28" spans="1:17" ht="15" customHeight="1" x14ac:dyDescent="0.2">
      <c r="B28" s="169" t="s">
        <v>152</v>
      </c>
      <c r="C28" s="65">
        <f>IF($F$28&gt;0,' Planning &amp; Design Cost'!$C$40,0)</f>
        <v>0</v>
      </c>
      <c r="D28" s="65">
        <f>' Planning &amp; Design Cost'!$H$38</f>
        <v>0</v>
      </c>
      <c r="E28" s="65">
        <f>' Planning &amp; Design Cost'!$I$38</f>
        <v>0</v>
      </c>
      <c r="F28" s="150">
        <f>' Planning &amp; Design Cost'!$J$38</f>
        <v>0</v>
      </c>
    </row>
    <row r="29" spans="1:17" ht="15" customHeight="1" x14ac:dyDescent="0.2">
      <c r="B29" s="169" t="s">
        <v>153</v>
      </c>
      <c r="C29" s="65">
        <f>IF($F$29&gt;0,' Planning &amp; Design Cost'!$C$52,0)</f>
        <v>0</v>
      </c>
      <c r="D29" s="65">
        <f>' Planning &amp; Design Cost'!$H$51</f>
        <v>0</v>
      </c>
      <c r="E29" s="65">
        <f>' Planning &amp; Design Cost'!$I$51</f>
        <v>0</v>
      </c>
      <c r="F29" s="150">
        <f>' Planning &amp; Design Cost'!$J$51</f>
        <v>0</v>
      </c>
      <c r="I29" s="430" t="s">
        <v>185</v>
      </c>
      <c r="J29" s="430"/>
      <c r="K29" s="430"/>
      <c r="L29" s="430"/>
      <c r="M29" s="430"/>
      <c r="N29" s="430"/>
      <c r="O29" s="430"/>
      <c r="P29" s="430"/>
      <c r="Q29" s="38"/>
    </row>
    <row r="30" spans="1:17" ht="15" customHeight="1" thickBot="1" x14ac:dyDescent="0.25">
      <c r="B30" s="170" t="s">
        <v>0</v>
      </c>
      <c r="C30" s="90">
        <f>IF('Construction Cost Increase'!$E$47&gt;0,'Construction Cost Increase'!$E$47,IF(' Construction Cost'!$G$26&gt;0,' Construction Cost'!$C$26,0))</f>
        <v>0</v>
      </c>
      <c r="D30" s="90">
        <f>IF('Construction Cost Increase'!$F$47&gt;0,'Construction Cost Increase'!$F$47,' Construction Cost'!$E$26)</f>
        <v>0</v>
      </c>
      <c r="E30" s="90">
        <f>IF('Construction Cost Increase'!$G$47&gt;0,'Construction Cost Increase'!$G$47,' Construction Cost'!$F$26)</f>
        <v>0</v>
      </c>
      <c r="F30" s="154">
        <f>IF('Construction Cost Increase'!$H$47&gt;0,'Construction Cost Increase'!$H$47,' Construction Cost'!$G$26)</f>
        <v>0</v>
      </c>
      <c r="I30" s="430" t="s">
        <v>186</v>
      </c>
      <c r="J30" s="430"/>
      <c r="K30" s="430"/>
      <c r="L30" s="430"/>
      <c r="M30" s="430"/>
      <c r="N30" s="430"/>
      <c r="O30" s="430"/>
    </row>
    <row r="31" spans="1:17" ht="15" customHeight="1" thickBot="1" x14ac:dyDescent="0.3">
      <c r="B31" s="171" t="s">
        <v>6</v>
      </c>
      <c r="C31" s="155">
        <f>SUM($C$27:$C$30)</f>
        <v>0</v>
      </c>
      <c r="D31" s="155">
        <f>SUM($D$27:$D$30)</f>
        <v>0</v>
      </c>
      <c r="E31" s="155">
        <f>SUM($E$27:$E$30)</f>
        <v>0</v>
      </c>
      <c r="F31" s="156">
        <f>SUM($F$27:$F$30)</f>
        <v>0</v>
      </c>
      <c r="G31" s="6"/>
    </row>
    <row r="32" spans="1:17" ht="15" x14ac:dyDescent="0.25">
      <c r="B32" s="138"/>
      <c r="C32" s="139"/>
      <c r="D32" s="139"/>
      <c r="E32" s="139"/>
      <c r="F32" s="139"/>
      <c r="G32" s="6"/>
    </row>
  </sheetData>
  <sheetProtection algorithmName="SHA-512" hashValue="rfUjXBPoPrDU5aWCPeM3Kjiab5P8ixreYZg7BFl42dEiAuseOAC5jE0gM1vb1m6YWsDrFPcI7699/1sXgoVO2g==" saltValue="cVhfypxDKq733CrKrLnuwg==" spinCount="100000" sheet="1" formatCells="0"/>
  <mergeCells count="24">
    <mergeCell ref="I30:O30"/>
    <mergeCell ref="C25:E25"/>
    <mergeCell ref="B18:E18"/>
    <mergeCell ref="B15:F15"/>
    <mergeCell ref="B16:E16"/>
    <mergeCell ref="B17:E17"/>
    <mergeCell ref="B19:E19"/>
    <mergeCell ref="B20:E20"/>
    <mergeCell ref="B21:E21"/>
    <mergeCell ref="C22:E22"/>
    <mergeCell ref="B23:E23"/>
    <mergeCell ref="I16:O16"/>
    <mergeCell ref="I20:M20"/>
    <mergeCell ref="I22:O22"/>
    <mergeCell ref="I27:O27"/>
    <mergeCell ref="I29:P29"/>
    <mergeCell ref="A6:H12"/>
    <mergeCell ref="G3:H3"/>
    <mergeCell ref="A1:H1"/>
    <mergeCell ref="G4:H4"/>
    <mergeCell ref="A3:B3"/>
    <mergeCell ref="A4:B4"/>
    <mergeCell ref="C4:D4"/>
    <mergeCell ref="C3:F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4"/>
  <sheetViews>
    <sheetView zoomScaleNormal="100" workbookViewId="0">
      <selection activeCell="I42" sqref="I42"/>
    </sheetView>
  </sheetViews>
  <sheetFormatPr defaultRowHeight="12.75" x14ac:dyDescent="0.2"/>
  <cols>
    <col min="1" max="1" width="9.140625" style="3"/>
    <col min="2" max="2" width="9.140625" style="3" customWidth="1"/>
    <col min="3" max="4" width="9.140625" style="3"/>
    <col min="5" max="5" width="9.140625" style="3" customWidth="1"/>
    <col min="6" max="6" width="9.85546875" style="3" customWidth="1"/>
    <col min="7" max="7" width="12.7109375" style="3" bestFit="1" customWidth="1"/>
    <col min="8" max="8" width="9.85546875" style="3" customWidth="1"/>
    <col min="9" max="9" width="9.5703125" style="3" bestFit="1" customWidth="1"/>
    <col min="10" max="10" width="7.7109375" style="3" customWidth="1"/>
    <col min="11" max="11" width="10.7109375" style="3" customWidth="1"/>
    <col min="12" max="17" width="7.7109375" style="3" customWidth="1"/>
    <col min="18" max="19" width="5.7109375" style="3" customWidth="1"/>
    <col min="20" max="21" width="7.7109375" style="3" customWidth="1"/>
    <col min="22" max="16384" width="9.140625" style="3"/>
  </cols>
  <sheetData>
    <row r="1" spans="1:21" ht="30.75" customHeight="1" thickBot="1" x14ac:dyDescent="0.25">
      <c r="A1" s="464" t="s">
        <v>21</v>
      </c>
      <c r="B1" s="464"/>
      <c r="C1" s="464"/>
      <c r="D1" s="464"/>
      <c r="E1" s="464"/>
      <c r="F1" s="464"/>
      <c r="G1" s="464"/>
      <c r="H1" s="464"/>
      <c r="I1" s="464"/>
      <c r="J1" s="2"/>
      <c r="K1" s="2"/>
    </row>
    <row r="2" spans="1:21" ht="18.95" customHeight="1" thickBot="1" x14ac:dyDescent="0.25">
      <c r="A2" s="472" t="str">
        <f>IF('Project Information'!C3="","Project Name",'Project Information'!C3)</f>
        <v>Project Name</v>
      </c>
      <c r="B2" s="473"/>
      <c r="C2" s="473"/>
      <c r="D2" s="474"/>
      <c r="J2" s="419" t="s">
        <v>15</v>
      </c>
      <c r="K2" s="420"/>
    </row>
    <row r="3" spans="1:21" ht="18.95" customHeight="1" thickBot="1" x14ac:dyDescent="0.25">
      <c r="A3" s="480" t="str">
        <f>IF('Project Information'!C4="","Project Number",'Project Information'!C4)</f>
        <v>Project Number</v>
      </c>
      <c r="B3" s="480"/>
      <c r="C3" s="480"/>
      <c r="E3" s="174" t="s">
        <v>27</v>
      </c>
      <c r="F3" s="25"/>
      <c r="G3" s="4"/>
      <c r="H3" s="5"/>
      <c r="J3" s="422" t="s">
        <v>16</v>
      </c>
      <c r="K3" s="423"/>
    </row>
    <row r="4" spans="1:21" ht="15.75" customHeight="1" x14ac:dyDescent="0.2">
      <c r="J4" s="35"/>
      <c r="K4" s="35"/>
      <c r="L4" s="147"/>
      <c r="M4" s="147"/>
      <c r="N4" s="147"/>
      <c r="O4" s="147"/>
      <c r="P4" s="147"/>
      <c r="Q4" s="147"/>
      <c r="R4" s="14"/>
    </row>
    <row r="5" spans="1:21" ht="15" customHeight="1" thickBot="1" x14ac:dyDescent="0.25">
      <c r="A5" s="475" t="s">
        <v>174</v>
      </c>
      <c r="B5" s="475"/>
      <c r="C5" s="475"/>
      <c r="D5" s="475"/>
      <c r="E5" s="475"/>
      <c r="F5" s="475"/>
      <c r="G5" s="475"/>
      <c r="H5" s="36"/>
      <c r="I5" s="36"/>
      <c r="J5" s="328"/>
      <c r="K5" s="328"/>
      <c r="L5" s="328"/>
      <c r="M5" s="328"/>
      <c r="N5" s="328"/>
      <c r="O5" s="328"/>
      <c r="P5" s="328"/>
      <c r="Q5" s="165"/>
      <c r="R5" s="35"/>
    </row>
    <row r="6" spans="1:21" ht="15" customHeight="1" thickBot="1" x14ac:dyDescent="0.25">
      <c r="B6" s="37"/>
      <c r="C6" s="37"/>
      <c r="D6" s="482" t="s">
        <v>10</v>
      </c>
      <c r="E6" s="482"/>
      <c r="F6" s="482"/>
      <c r="G6" s="175" t="s">
        <v>39</v>
      </c>
      <c r="H6" s="61"/>
      <c r="I6" s="7"/>
      <c r="J6" s="328"/>
      <c r="K6" s="328"/>
      <c r="L6" s="328"/>
      <c r="M6" s="337"/>
      <c r="N6" s="337"/>
      <c r="O6" s="337"/>
      <c r="P6" s="337"/>
      <c r="Q6" s="337"/>
      <c r="R6" s="337"/>
      <c r="S6" s="337"/>
      <c r="T6" s="337"/>
      <c r="U6" s="163"/>
    </row>
    <row r="7" spans="1:21" ht="15" customHeight="1" thickBot="1" x14ac:dyDescent="0.25">
      <c r="B7" s="37"/>
      <c r="C7" s="482" t="s">
        <v>11</v>
      </c>
      <c r="D7" s="482"/>
      <c r="E7" s="482"/>
      <c r="F7" s="482"/>
      <c r="G7" s="175" t="s">
        <v>38</v>
      </c>
      <c r="H7" s="61">
        <v>55600</v>
      </c>
      <c r="I7" s="7"/>
      <c r="J7" s="164"/>
      <c r="K7" s="164"/>
      <c r="L7" s="164"/>
      <c r="M7" s="164"/>
      <c r="N7" s="164"/>
      <c r="O7" s="164"/>
      <c r="P7" s="164"/>
      <c r="Q7" s="164"/>
      <c r="R7" s="164"/>
      <c r="S7" s="164"/>
      <c r="T7" s="164"/>
      <c r="U7" s="164"/>
    </row>
    <row r="8" spans="1:21" ht="15" customHeight="1" thickBot="1" x14ac:dyDescent="0.3">
      <c r="B8" s="8"/>
      <c r="C8" s="8"/>
      <c r="D8" s="8"/>
      <c r="E8" s="8"/>
      <c r="F8" s="481" t="s">
        <v>37</v>
      </c>
      <c r="G8" s="481"/>
      <c r="H8" s="109">
        <f>IF($H$7&lt;=0,0,IF($H$6&gt;$H$7,0,IF($H$6&lt;=0,0,IF($H$6/$H$7&lt;0.25,75,100*(1-$H$6/$H$7)))))</f>
        <v>0</v>
      </c>
      <c r="I8" s="7"/>
      <c r="J8" s="410" t="s">
        <v>209</v>
      </c>
      <c r="K8" s="411"/>
      <c r="L8" s="411"/>
      <c r="M8" s="411"/>
      <c r="N8" s="411"/>
      <c r="O8" s="411"/>
      <c r="P8" s="411"/>
      <c r="Q8" s="411"/>
      <c r="R8" s="411"/>
      <c r="S8" s="411"/>
      <c r="T8" s="411"/>
      <c r="U8" s="412"/>
    </row>
    <row r="9" spans="1:21" ht="15" customHeight="1" x14ac:dyDescent="0.2">
      <c r="J9" s="413"/>
      <c r="K9" s="414"/>
      <c r="L9" s="414"/>
      <c r="M9" s="414"/>
      <c r="N9" s="414"/>
      <c r="O9" s="414"/>
      <c r="P9" s="414"/>
      <c r="Q9" s="414"/>
      <c r="R9" s="414"/>
      <c r="S9" s="414"/>
      <c r="T9" s="414"/>
      <c r="U9" s="415"/>
    </row>
    <row r="10" spans="1:21" ht="15" customHeight="1" thickBot="1" x14ac:dyDescent="0.25">
      <c r="A10" s="36"/>
      <c r="B10" s="36"/>
      <c r="C10" s="475" t="s">
        <v>175</v>
      </c>
      <c r="D10" s="475"/>
      <c r="E10" s="475"/>
      <c r="F10" s="475"/>
      <c r="G10" s="475"/>
      <c r="J10" s="413"/>
      <c r="K10" s="414"/>
      <c r="L10" s="414"/>
      <c r="M10" s="414"/>
      <c r="N10" s="414"/>
      <c r="O10" s="414"/>
      <c r="P10" s="414"/>
      <c r="Q10" s="414"/>
      <c r="R10" s="414"/>
      <c r="S10" s="414"/>
      <c r="T10" s="414"/>
      <c r="U10" s="415"/>
    </row>
    <row r="11" spans="1:21" ht="15" customHeight="1" thickBot="1" x14ac:dyDescent="0.25">
      <c r="B11" s="37"/>
      <c r="C11" s="37"/>
      <c r="D11" s="482" t="s">
        <v>9</v>
      </c>
      <c r="E11" s="482"/>
      <c r="F11" s="482"/>
      <c r="G11" s="175" t="s">
        <v>40</v>
      </c>
      <c r="H11" s="107"/>
      <c r="I11" s="9"/>
      <c r="J11" s="413"/>
      <c r="K11" s="414"/>
      <c r="L11" s="414"/>
      <c r="M11" s="414"/>
      <c r="N11" s="414"/>
      <c r="O11" s="414"/>
      <c r="P11" s="414"/>
      <c r="Q11" s="414"/>
      <c r="R11" s="414"/>
      <c r="S11" s="414"/>
      <c r="T11" s="414"/>
      <c r="U11" s="415"/>
    </row>
    <row r="12" spans="1:21" ht="15" customHeight="1" thickBot="1" x14ac:dyDescent="0.3">
      <c r="B12" s="10"/>
      <c r="C12" s="10"/>
      <c r="D12" s="10"/>
      <c r="E12" s="10"/>
      <c r="F12" s="448" t="s">
        <v>41</v>
      </c>
      <c r="G12" s="448"/>
      <c r="H12" s="109">
        <f>IF($H$11&gt;10000,0,IF($H$11&lt;=0,0,50-($H$11/200)))</f>
        <v>0</v>
      </c>
      <c r="I12" s="9"/>
      <c r="J12" s="413"/>
      <c r="K12" s="414"/>
      <c r="L12" s="414"/>
      <c r="M12" s="414"/>
      <c r="N12" s="414"/>
      <c r="O12" s="414"/>
      <c r="P12" s="414"/>
      <c r="Q12" s="414"/>
      <c r="R12" s="414"/>
      <c r="S12" s="414"/>
      <c r="T12" s="414"/>
      <c r="U12" s="415"/>
    </row>
    <row r="13" spans="1:21" ht="15" customHeight="1" x14ac:dyDescent="0.2">
      <c r="J13" s="413"/>
      <c r="K13" s="414"/>
      <c r="L13" s="414"/>
      <c r="M13" s="414"/>
      <c r="N13" s="414"/>
      <c r="O13" s="414"/>
      <c r="P13" s="414"/>
      <c r="Q13" s="414"/>
      <c r="R13" s="414"/>
      <c r="S13" s="414"/>
      <c r="T13" s="414"/>
      <c r="U13" s="415"/>
    </row>
    <row r="14" spans="1:21" ht="15" customHeight="1" thickBot="1" x14ac:dyDescent="0.25">
      <c r="A14" s="36"/>
      <c r="B14" s="36"/>
      <c r="C14" s="475" t="s">
        <v>176</v>
      </c>
      <c r="D14" s="475"/>
      <c r="E14" s="475"/>
      <c r="F14" s="475"/>
      <c r="G14" s="475"/>
      <c r="J14" s="413"/>
      <c r="K14" s="414"/>
      <c r="L14" s="414"/>
      <c r="M14" s="414"/>
      <c r="N14" s="414"/>
      <c r="O14" s="414"/>
      <c r="P14" s="414"/>
      <c r="Q14" s="414"/>
      <c r="R14" s="414"/>
      <c r="S14" s="414"/>
      <c r="T14" s="414"/>
      <c r="U14" s="415"/>
    </row>
    <row r="15" spans="1:21" ht="15" customHeight="1" thickBot="1" x14ac:dyDescent="0.25">
      <c r="E15" s="478" t="s">
        <v>42</v>
      </c>
      <c r="F15" s="478"/>
      <c r="G15" s="479"/>
      <c r="H15" s="109">
        <f>$H$8+$H$12</f>
        <v>0</v>
      </c>
      <c r="J15" s="413"/>
      <c r="K15" s="414"/>
      <c r="L15" s="414"/>
      <c r="M15" s="414"/>
      <c r="N15" s="414"/>
      <c r="O15" s="414"/>
      <c r="P15" s="414"/>
      <c r="Q15" s="414"/>
      <c r="R15" s="414"/>
      <c r="S15" s="414"/>
      <c r="T15" s="414"/>
      <c r="U15" s="415"/>
    </row>
    <row r="16" spans="1:21" ht="15" customHeight="1" thickBot="1" x14ac:dyDescent="0.25">
      <c r="J16" s="416"/>
      <c r="K16" s="417"/>
      <c r="L16" s="417"/>
      <c r="M16" s="417"/>
      <c r="N16" s="417"/>
      <c r="O16" s="417"/>
      <c r="P16" s="417"/>
      <c r="Q16" s="417"/>
      <c r="R16" s="417"/>
      <c r="S16" s="417"/>
      <c r="T16" s="417"/>
      <c r="U16" s="418"/>
    </row>
    <row r="17" spans="1:21" ht="18" customHeight="1" thickBot="1" x14ac:dyDescent="0.25">
      <c r="A17" s="11"/>
      <c r="B17" s="467" t="s">
        <v>20</v>
      </c>
      <c r="C17" s="467"/>
      <c r="D17" s="467"/>
      <c r="E17" s="467"/>
      <c r="J17" s="162"/>
      <c r="K17" s="162"/>
      <c r="L17" s="162"/>
      <c r="M17" s="162"/>
      <c r="N17" s="163"/>
      <c r="O17" s="163"/>
      <c r="P17" s="163"/>
      <c r="Q17" s="163"/>
      <c r="R17" s="163"/>
      <c r="S17" s="163"/>
      <c r="T17" s="163"/>
      <c r="U17" s="163"/>
    </row>
    <row r="18" spans="1:21" ht="13.5" thickBot="1" x14ac:dyDescent="0.25">
      <c r="A18" s="38"/>
      <c r="B18" s="468" t="s">
        <v>142</v>
      </c>
      <c r="C18" s="468"/>
      <c r="D18" s="468"/>
      <c r="E18" s="468"/>
      <c r="F18" s="468"/>
      <c r="G18" s="468"/>
      <c r="H18" s="469"/>
      <c r="I18" s="26" t="s">
        <v>345</v>
      </c>
      <c r="J18" s="488" t="s">
        <v>55</v>
      </c>
      <c r="K18" s="489"/>
      <c r="L18" s="489"/>
      <c r="M18" s="489"/>
      <c r="N18" s="489"/>
      <c r="O18" s="489"/>
      <c r="P18" s="489"/>
      <c r="Q18" s="489"/>
      <c r="R18" s="161"/>
    </row>
    <row r="19" spans="1:21" ht="13.5" thickBot="1" x14ac:dyDescent="0.25">
      <c r="A19" s="38"/>
      <c r="B19" s="468" t="s">
        <v>143</v>
      </c>
      <c r="C19" s="468"/>
      <c r="D19" s="468"/>
      <c r="E19" s="468"/>
      <c r="F19" s="468"/>
      <c r="G19" s="468"/>
      <c r="H19" s="469"/>
      <c r="I19" s="26" t="s">
        <v>345</v>
      </c>
      <c r="J19" s="476" t="s">
        <v>56</v>
      </c>
      <c r="K19" s="477"/>
      <c r="L19" s="477"/>
      <c r="M19" s="477"/>
      <c r="N19" s="477"/>
      <c r="O19" s="477"/>
      <c r="P19" s="477"/>
      <c r="Q19" s="477"/>
      <c r="R19" s="477"/>
      <c r="S19" s="477"/>
      <c r="T19" s="477"/>
    </row>
    <row r="20" spans="1:21" ht="13.5" thickBot="1" x14ac:dyDescent="0.25">
      <c r="A20" s="38"/>
      <c r="B20" s="470" t="s">
        <v>180</v>
      </c>
      <c r="C20" s="470"/>
      <c r="D20" s="470"/>
      <c r="E20" s="470"/>
      <c r="F20" s="470"/>
      <c r="G20" s="470"/>
      <c r="H20" s="471"/>
      <c r="I20" s="26" t="s">
        <v>346</v>
      </c>
      <c r="J20" s="158" t="s">
        <v>188</v>
      </c>
      <c r="K20" s="176"/>
      <c r="L20" s="159"/>
      <c r="M20" s="159"/>
      <c r="N20" s="159"/>
      <c r="O20" s="159"/>
      <c r="P20" s="159"/>
      <c r="Q20" s="159"/>
      <c r="R20" s="159"/>
      <c r="S20" s="159"/>
      <c r="T20" s="159"/>
    </row>
    <row r="21" spans="1:21" ht="13.5" thickBot="1" x14ac:dyDescent="0.25">
      <c r="A21" s="38"/>
      <c r="B21" s="470" t="s">
        <v>181</v>
      </c>
      <c r="C21" s="470"/>
      <c r="D21" s="470"/>
      <c r="E21" s="470"/>
      <c r="F21" s="470"/>
      <c r="G21" s="470"/>
      <c r="H21" s="471"/>
      <c r="I21" s="26" t="s">
        <v>346</v>
      </c>
      <c r="J21" s="476" t="s">
        <v>189</v>
      </c>
      <c r="K21" s="477"/>
      <c r="L21" s="477"/>
      <c r="M21" s="477"/>
      <c r="N21" s="477"/>
      <c r="O21" s="477"/>
      <c r="P21" s="477"/>
      <c r="Q21" s="477"/>
      <c r="R21" s="477"/>
      <c r="S21" s="477"/>
      <c r="T21" s="477"/>
      <c r="U21" s="477"/>
    </row>
    <row r="22" spans="1:21" ht="15.75" customHeight="1" thickBot="1" x14ac:dyDescent="0.3">
      <c r="B22" s="40"/>
      <c r="C22" s="13"/>
      <c r="D22" s="12"/>
      <c r="E22" s="12"/>
      <c r="F22" s="12"/>
      <c r="G22" s="448" t="s">
        <v>46</v>
      </c>
      <c r="H22" s="449"/>
      <c r="I22" s="144">
        <f>IF(OR($H$6&gt;=$H$7,$H$6&lt;=0,$H$7&lt;=0,$H$11&lt;=0,$H$11&gt;=10000,$I$18&lt;="no",$I$19&lt;="no",$I$20="yes",$I$21="yes"),0,50)</f>
        <v>0</v>
      </c>
      <c r="J22" s="102"/>
      <c r="K22" s="102"/>
      <c r="L22" s="98"/>
      <c r="M22" s="98"/>
      <c r="N22" s="98"/>
      <c r="O22" s="98"/>
      <c r="P22" s="98"/>
      <c r="Q22" s="98"/>
      <c r="R22" s="98"/>
    </row>
    <row r="23" spans="1:21" ht="15.75" customHeight="1" thickBot="1" x14ac:dyDescent="0.3">
      <c r="B23" s="40"/>
      <c r="C23" s="13"/>
      <c r="D23" s="12"/>
      <c r="E23" s="12"/>
      <c r="F23" s="12"/>
      <c r="G23" s="448" t="s">
        <v>45</v>
      </c>
      <c r="H23" s="449"/>
      <c r="I23" s="144">
        <f>IF(OR($H$6&gt;=$H$7,$H$6&lt;=0,$H$7&lt;=0,$H$11&lt;=0,$H$11&gt;=10000,$I$18&lt;="no",$I$19&lt;="no",$I$20="yes",$I$21="yes"),0,50)</f>
        <v>0</v>
      </c>
      <c r="J23" s="102"/>
      <c r="K23" s="102"/>
      <c r="L23" s="98"/>
      <c r="M23" s="98"/>
      <c r="N23" s="98"/>
      <c r="O23" s="98"/>
      <c r="P23" s="98"/>
      <c r="Q23" s="98"/>
      <c r="R23" s="98"/>
    </row>
    <row r="24" spans="1:21" ht="15.75" customHeight="1" thickBot="1" x14ac:dyDescent="0.3">
      <c r="B24" s="41"/>
      <c r="C24" s="41"/>
      <c r="D24" s="41"/>
      <c r="E24" s="41"/>
      <c r="F24" s="360"/>
      <c r="G24" s="448" t="s">
        <v>44</v>
      </c>
      <c r="H24" s="449"/>
      <c r="I24" s="145">
        <f>IF(OR($H$6&gt;=$H$7,$H$6&lt;=0,$H$7&lt;=0,$H$11&lt;=0,$I$18&lt;="no",$I$19&lt;="no"),0,IF(AND($I$18="yes",$I$19="yes",$H$6/$H$7&lt;1,$H$11&gt;=10000), 20,IF(AND($I$20&lt;="no",$I$21&lt;="no",(1760/9-160*$H$6/$H$7-7/4500*$H$11)&gt;90), 90,IF((1760/9-160*$H$6/$H$7-7/4500*$H$11)&lt;20,20, IF(AND(OR($I$20="yes",$I$21="yes"),(1760/9-160*$H$6/$H$7-7/4500*$H$11)&gt;50),50,ROUND((1760/9-160*$H$6/$H$7-7/4500*$H$11),2))))))</f>
        <v>0</v>
      </c>
      <c r="J24" s="486" t="s">
        <v>43</v>
      </c>
      <c r="K24" s="487"/>
      <c r="L24" s="487"/>
      <c r="M24" s="487"/>
      <c r="N24" s="487"/>
      <c r="O24" s="160"/>
      <c r="P24" s="98"/>
      <c r="Q24" s="98"/>
      <c r="R24" s="98"/>
    </row>
    <row r="25" spans="1:21" ht="15.75" thickBot="1" x14ac:dyDescent="0.25">
      <c r="B25" s="15"/>
      <c r="C25" s="15"/>
      <c r="D25" s="15"/>
      <c r="E25" s="15"/>
      <c r="F25" s="15"/>
      <c r="G25" s="15"/>
      <c r="H25" s="16"/>
      <c r="I25" s="17"/>
      <c r="J25" s="101"/>
      <c r="K25" s="101"/>
      <c r="L25" s="98"/>
      <c r="M25" s="98"/>
      <c r="N25" s="98"/>
      <c r="O25" s="98"/>
      <c r="P25" s="98"/>
      <c r="Q25" s="98"/>
      <c r="R25" s="98"/>
    </row>
    <row r="26" spans="1:21" ht="13.5" thickBot="1" x14ac:dyDescent="0.25">
      <c r="B26" s="38"/>
      <c r="C26" s="430" t="s">
        <v>34</v>
      </c>
      <c r="D26" s="430"/>
      <c r="E26" s="430"/>
      <c r="F26" s="450"/>
      <c r="G26" s="108"/>
      <c r="H26" s="157"/>
      <c r="I26" s="17"/>
      <c r="J26" s="101"/>
      <c r="K26" s="101"/>
      <c r="L26" s="98"/>
      <c r="M26" s="98"/>
      <c r="N26" s="98"/>
      <c r="O26" s="98"/>
      <c r="P26" s="98"/>
      <c r="Q26" s="98"/>
      <c r="R26" s="98"/>
    </row>
    <row r="27" spans="1:21" x14ac:dyDescent="0.2">
      <c r="H27" s="6"/>
      <c r="J27" s="98"/>
      <c r="K27" s="98"/>
      <c r="L27" s="98"/>
      <c r="M27" s="98"/>
      <c r="N27" s="98"/>
      <c r="O27" s="98"/>
      <c r="P27" s="98"/>
      <c r="Q27" s="98"/>
      <c r="R27" s="98"/>
    </row>
    <row r="28" spans="1:21" ht="15.75" customHeight="1" x14ac:dyDescent="0.2">
      <c r="B28" s="467" t="s">
        <v>177</v>
      </c>
      <c r="C28" s="467"/>
      <c r="D28" s="467"/>
      <c r="E28" s="467"/>
      <c r="H28" s="157"/>
      <c r="J28" s="98"/>
      <c r="K28" s="98"/>
      <c r="L28" s="98"/>
      <c r="M28" s="98"/>
      <c r="N28" s="98"/>
      <c r="O28" s="98"/>
      <c r="P28" s="98"/>
      <c r="Q28" s="98"/>
      <c r="R28" s="98"/>
    </row>
    <row r="29" spans="1:21" ht="13.5" thickBot="1" x14ac:dyDescent="0.25">
      <c r="B29" s="465" t="s">
        <v>22</v>
      </c>
      <c r="C29" s="465"/>
      <c r="D29" s="465"/>
      <c r="E29" s="177" t="s">
        <v>23</v>
      </c>
      <c r="F29" s="459" t="s">
        <v>24</v>
      </c>
      <c r="G29" s="459"/>
      <c r="H29" s="459" t="s">
        <v>26</v>
      </c>
      <c r="I29" s="459"/>
      <c r="J29" s="485" t="s">
        <v>190</v>
      </c>
      <c r="K29" s="484"/>
      <c r="L29" s="484"/>
      <c r="M29" s="484"/>
      <c r="N29" s="37"/>
      <c r="O29" s="98"/>
      <c r="P29" s="98"/>
      <c r="Q29" s="98"/>
      <c r="R29" s="98"/>
    </row>
    <row r="30" spans="1:21" ht="13.5" thickBot="1" x14ac:dyDescent="0.25">
      <c r="B30" s="466" t="s">
        <v>28</v>
      </c>
      <c r="C30" s="466"/>
      <c r="D30" s="466"/>
      <c r="E30" s="178">
        <v>800</v>
      </c>
      <c r="F30" s="455"/>
      <c r="G30" s="456"/>
      <c r="H30" s="451">
        <f>IF($G$26&lt;=0,0,IF($G$26&lt;$F$30,0,IF($F$30&lt;=0,0,$F$30/$G$26*800)))</f>
        <v>0</v>
      </c>
      <c r="I30" s="452"/>
      <c r="J30" s="98"/>
      <c r="K30" s="98"/>
      <c r="L30" s="98"/>
      <c r="M30" s="98"/>
      <c r="N30" s="98"/>
      <c r="O30" s="98"/>
      <c r="P30" s="98"/>
      <c r="Q30" s="98"/>
      <c r="R30" s="98"/>
    </row>
    <row r="31" spans="1:21" ht="13.5" thickBot="1" x14ac:dyDescent="0.25">
      <c r="B31" s="466" t="s">
        <v>29</v>
      </c>
      <c r="C31" s="466"/>
      <c r="D31" s="466"/>
      <c r="E31" s="179">
        <v>700</v>
      </c>
      <c r="F31" s="457"/>
      <c r="G31" s="458"/>
      <c r="H31" s="451">
        <f>IF($G$26&lt;=0,0,IF($G$26&lt;$F$31,0,IF($F$31&lt;=0,0,$F$31/$G$26*700)))</f>
        <v>0</v>
      </c>
      <c r="I31" s="452"/>
      <c r="J31" s="98"/>
      <c r="K31" s="98"/>
      <c r="L31" s="98"/>
      <c r="M31" s="98"/>
      <c r="N31" s="98"/>
      <c r="O31" s="98"/>
      <c r="P31" s="98"/>
      <c r="Q31" s="98"/>
      <c r="R31" s="98"/>
    </row>
    <row r="32" spans="1:21" ht="13.5" thickBot="1" x14ac:dyDescent="0.25">
      <c r="B32" s="466" t="s">
        <v>30</v>
      </c>
      <c r="C32" s="466"/>
      <c r="D32" s="466"/>
      <c r="E32" s="179">
        <v>600</v>
      </c>
      <c r="F32" s="457"/>
      <c r="G32" s="458"/>
      <c r="H32" s="451">
        <f>IF($G$26&lt;=0,0,IF($G$26&lt;$F$32,0,IF($F$32&lt;=0,0,$F$32/$G$26*600)))</f>
        <v>0</v>
      </c>
      <c r="I32" s="452"/>
      <c r="J32" s="98"/>
      <c r="K32" s="98"/>
      <c r="L32" s="98"/>
      <c r="M32" s="98"/>
      <c r="N32" s="98"/>
      <c r="O32" s="98"/>
      <c r="P32" s="98"/>
      <c r="Q32" s="98"/>
      <c r="R32" s="98"/>
    </row>
    <row r="33" spans="2:21" ht="13.5" thickBot="1" x14ac:dyDescent="0.25">
      <c r="B33" s="466" t="s">
        <v>31</v>
      </c>
      <c r="C33" s="466"/>
      <c r="D33" s="466"/>
      <c r="E33" s="179">
        <v>500</v>
      </c>
      <c r="F33" s="457"/>
      <c r="G33" s="458"/>
      <c r="H33" s="451">
        <f>IF($G$26&lt;=0,0,IF($G$26&lt;$F$33,0,IF($F$33&lt;=0,0,$F$33/$G$26*500)))</f>
        <v>0</v>
      </c>
      <c r="I33" s="452"/>
      <c r="J33" s="98"/>
      <c r="K33" s="98"/>
      <c r="L33" s="98"/>
      <c r="M33" s="98"/>
      <c r="N33" s="98"/>
      <c r="O33" s="98"/>
      <c r="P33" s="98"/>
      <c r="Q33" s="98"/>
      <c r="R33" s="98"/>
    </row>
    <row r="34" spans="2:21" ht="13.5" thickBot="1" x14ac:dyDescent="0.25">
      <c r="B34" s="466" t="s">
        <v>32</v>
      </c>
      <c r="C34" s="466"/>
      <c r="D34" s="466"/>
      <c r="E34" s="179">
        <v>400</v>
      </c>
      <c r="F34" s="455"/>
      <c r="G34" s="456"/>
      <c r="H34" s="451">
        <f>IF($G$26&lt;=0,0,IF($G$26&lt;$F$34,0,IF($F$34&lt;=0,0,$F$34/$G$26*400)))</f>
        <v>0</v>
      </c>
      <c r="I34" s="452"/>
      <c r="J34" s="98"/>
      <c r="K34" s="98"/>
      <c r="L34" s="98"/>
      <c r="M34" s="98"/>
      <c r="N34" s="98"/>
      <c r="O34" s="98"/>
      <c r="P34" s="98"/>
      <c r="Q34" s="98"/>
      <c r="R34" s="98"/>
    </row>
    <row r="35" spans="2:21" ht="13.5" thickBot="1" x14ac:dyDescent="0.25">
      <c r="B35" s="466" t="s">
        <v>33</v>
      </c>
      <c r="C35" s="466"/>
      <c r="D35" s="466"/>
      <c r="E35" s="179">
        <v>300</v>
      </c>
      <c r="F35" s="457"/>
      <c r="G35" s="458"/>
      <c r="H35" s="451">
        <f>IF($G$26&lt;=0,0,IF($G$26&lt;$F$35,0,IF($F$35&lt;=0,0,$F$35/$G$26*300)))</f>
        <v>0</v>
      </c>
      <c r="I35" s="452"/>
      <c r="J35" s="98"/>
      <c r="K35" s="98"/>
      <c r="L35" s="98"/>
      <c r="M35" s="98"/>
      <c r="N35" s="98"/>
      <c r="O35" s="98"/>
      <c r="P35" s="98"/>
      <c r="Q35" s="98"/>
      <c r="R35" s="98"/>
    </row>
    <row r="36" spans="2:21" ht="13.5" thickBot="1" x14ac:dyDescent="0.25">
      <c r="B36" s="466" t="s">
        <v>4</v>
      </c>
      <c r="C36" s="466"/>
      <c r="D36" s="466"/>
      <c r="E36" s="180">
        <v>100</v>
      </c>
      <c r="F36" s="455"/>
      <c r="G36" s="456"/>
      <c r="H36" s="451">
        <f>IF($G$26&lt;=0,0,IF($G$26&lt;$F$36,0,IF($F$36&lt;=0,0,$F$36/$G$26*100)))</f>
        <v>0</v>
      </c>
      <c r="I36" s="452"/>
      <c r="J36" s="98"/>
      <c r="K36" s="98"/>
      <c r="L36" s="98"/>
      <c r="M36" s="98"/>
      <c r="N36" s="98"/>
      <c r="O36" s="98"/>
      <c r="P36" s="98"/>
      <c r="Q36" s="98"/>
      <c r="R36" s="98"/>
    </row>
    <row r="37" spans="2:21" ht="13.5" thickBot="1" x14ac:dyDescent="0.25">
      <c r="D37" s="18"/>
      <c r="E37" s="181" t="s">
        <v>25</v>
      </c>
      <c r="F37" s="462">
        <f>SUM($F$30:$G$36)</f>
        <v>0</v>
      </c>
      <c r="G37" s="463"/>
      <c r="H37" s="460">
        <f>IF($F$37&lt;&gt;$G$26,0,SUM($H$30:$H$36))</f>
        <v>0</v>
      </c>
      <c r="I37" s="461"/>
      <c r="J37" s="483" t="s">
        <v>35</v>
      </c>
      <c r="K37" s="484"/>
      <c r="L37" s="484"/>
      <c r="M37" s="484"/>
      <c r="N37" s="484"/>
      <c r="O37" s="484"/>
      <c r="P37" s="484"/>
      <c r="Q37" s="37"/>
      <c r="R37" s="98"/>
    </row>
    <row r="38" spans="2:21" ht="13.5" thickBot="1" x14ac:dyDescent="0.25">
      <c r="D38" s="18"/>
      <c r="E38" s="19"/>
      <c r="F38" s="20"/>
      <c r="G38" s="19"/>
      <c r="H38" s="21"/>
      <c r="I38" s="21"/>
    </row>
    <row r="39" spans="2:21" ht="13.5" thickBot="1" x14ac:dyDescent="0.25">
      <c r="B39" s="430" t="s">
        <v>144</v>
      </c>
      <c r="C39" s="430"/>
      <c r="D39" s="430"/>
      <c r="E39" s="430"/>
      <c r="F39" s="430"/>
      <c r="G39" s="430"/>
      <c r="H39" s="450"/>
      <c r="I39" s="31" t="s">
        <v>347</v>
      </c>
      <c r="K39" s="22"/>
    </row>
    <row r="40" spans="2:21" ht="13.5" thickBot="1" x14ac:dyDescent="0.25">
      <c r="B40" s="430" t="s">
        <v>145</v>
      </c>
      <c r="C40" s="430"/>
      <c r="D40" s="430"/>
      <c r="E40" s="430"/>
      <c r="F40" s="430"/>
      <c r="G40" s="430"/>
      <c r="H40" s="450"/>
      <c r="I40" s="31" t="s">
        <v>347</v>
      </c>
    </row>
    <row r="41" spans="2:21" ht="13.5" thickBot="1" x14ac:dyDescent="0.25">
      <c r="B41" s="430" t="s">
        <v>102</v>
      </c>
      <c r="C41" s="430"/>
      <c r="D41" s="430"/>
      <c r="E41" s="430"/>
      <c r="F41" s="430"/>
      <c r="G41" s="430"/>
      <c r="H41" s="450"/>
      <c r="I41" s="31" t="s">
        <v>347</v>
      </c>
    </row>
    <row r="42" spans="2:21" ht="13.5" thickBot="1" x14ac:dyDescent="0.25">
      <c r="C42" s="39"/>
      <c r="D42" s="453" t="s">
        <v>47</v>
      </c>
      <c r="E42" s="453"/>
      <c r="F42" s="454"/>
      <c r="G42" s="110">
        <f>IF(OR(AND($I$39="yes",$I$40="yes"),AND($I$39="yes",$I$40="n/a"),AND($I$39="n/a",$I$40="yes"),AND($I$39="n/a",$I$40="n/a")),$H$37,0)</f>
        <v>0</v>
      </c>
      <c r="I42" s="22"/>
      <c r="J42" s="6"/>
    </row>
    <row r="43" spans="2:21" ht="13.5" thickBot="1" x14ac:dyDescent="0.25">
      <c r="C43" s="39"/>
      <c r="D43" s="453" t="s">
        <v>42</v>
      </c>
      <c r="E43" s="453"/>
      <c r="F43" s="454"/>
      <c r="G43" s="110">
        <f>IF($G$42&gt;0,$H$15,0)</f>
        <v>0</v>
      </c>
      <c r="I43" s="116"/>
    </row>
    <row r="44" spans="2:21" ht="13.5" thickBot="1" x14ac:dyDescent="0.25">
      <c r="C44" s="39"/>
      <c r="D44" s="453" t="s">
        <v>48</v>
      </c>
      <c r="E44" s="453"/>
      <c r="F44" s="454"/>
      <c r="G44" s="110">
        <f>IF(OR($I$41&lt;="no",$G$42&lt;=0),0,100)</f>
        <v>0</v>
      </c>
      <c r="I44" s="22"/>
    </row>
    <row r="45" spans="2:21" ht="15.75" thickBot="1" x14ac:dyDescent="0.3">
      <c r="D45" s="446" t="s">
        <v>36</v>
      </c>
      <c r="E45" s="446"/>
      <c r="F45" s="447"/>
      <c r="G45" s="111">
        <f>SUM($G$42:$G$44)</f>
        <v>0</v>
      </c>
    </row>
    <row r="47" spans="2:21" ht="12.75" customHeight="1" x14ac:dyDescent="0.2">
      <c r="J47" s="340"/>
      <c r="K47" s="340"/>
      <c r="L47" s="340"/>
      <c r="M47" s="340"/>
      <c r="N47" s="340"/>
      <c r="O47" s="340"/>
      <c r="P47" s="340"/>
      <c r="Q47" s="340"/>
      <c r="R47" s="340"/>
      <c r="S47" s="340"/>
      <c r="T47" s="340"/>
      <c r="U47" s="340"/>
    </row>
    <row r="48" spans="2:21" ht="12.75" customHeight="1" x14ac:dyDescent="0.2">
      <c r="J48" s="340"/>
      <c r="K48" s="340"/>
      <c r="L48" s="340"/>
      <c r="M48" s="340"/>
      <c r="N48" s="340"/>
      <c r="O48" s="340"/>
      <c r="P48" s="340"/>
      <c r="Q48" s="340"/>
      <c r="R48" s="340"/>
      <c r="S48" s="340"/>
      <c r="T48" s="340"/>
      <c r="U48" s="340"/>
    </row>
    <row r="49" spans="10:21" ht="12.75" customHeight="1" x14ac:dyDescent="0.2">
      <c r="J49" s="340"/>
      <c r="K49" s="340"/>
      <c r="L49" s="340"/>
      <c r="M49" s="340"/>
      <c r="N49" s="340"/>
      <c r="O49" s="340"/>
      <c r="P49" s="340"/>
      <c r="Q49" s="340"/>
      <c r="R49" s="340"/>
      <c r="S49" s="340"/>
      <c r="T49" s="340"/>
      <c r="U49" s="340"/>
    </row>
    <row r="50" spans="10:21" ht="12.75" customHeight="1" x14ac:dyDescent="0.2">
      <c r="J50" s="340"/>
      <c r="K50" s="340"/>
      <c r="L50" s="340"/>
      <c r="M50" s="340"/>
      <c r="N50" s="340"/>
      <c r="O50" s="340"/>
      <c r="P50" s="340"/>
      <c r="Q50" s="340"/>
      <c r="R50" s="340"/>
      <c r="S50" s="340"/>
      <c r="T50" s="340"/>
      <c r="U50" s="340"/>
    </row>
    <row r="51" spans="10:21" ht="13.5" customHeight="1" x14ac:dyDescent="0.2">
      <c r="J51" s="340"/>
      <c r="K51" s="340"/>
      <c r="L51" s="340"/>
      <c r="M51" s="340"/>
      <c r="N51" s="340"/>
      <c r="O51" s="340"/>
      <c r="P51" s="340"/>
      <c r="Q51" s="340"/>
      <c r="R51" s="340"/>
      <c r="S51" s="340"/>
      <c r="T51" s="340"/>
      <c r="U51" s="340"/>
    </row>
    <row r="52" spans="10:21" ht="12.75" customHeight="1" x14ac:dyDescent="0.2">
      <c r="J52" s="340"/>
      <c r="K52" s="340"/>
      <c r="L52" s="340"/>
      <c r="M52" s="340"/>
      <c r="N52" s="340"/>
      <c r="O52" s="340"/>
      <c r="P52" s="340"/>
      <c r="Q52" s="340"/>
      <c r="R52" s="340"/>
      <c r="S52" s="340"/>
      <c r="T52" s="340"/>
      <c r="U52" s="340"/>
    </row>
    <row r="53" spans="10:21" ht="13.5" customHeight="1" x14ac:dyDescent="0.2">
      <c r="J53" s="340"/>
      <c r="K53" s="340"/>
      <c r="L53" s="340"/>
      <c r="M53" s="340"/>
      <c r="N53" s="340"/>
      <c r="O53" s="340"/>
      <c r="P53" s="340"/>
      <c r="Q53" s="340"/>
      <c r="R53" s="340"/>
      <c r="S53" s="340"/>
      <c r="T53" s="340"/>
      <c r="U53" s="340"/>
    </row>
    <row r="54" spans="10:21" x14ac:dyDescent="0.2">
      <c r="J54" s="14"/>
      <c r="K54" s="14"/>
      <c r="L54" s="14"/>
      <c r="M54" s="14"/>
      <c r="N54" s="14"/>
      <c r="O54" s="14"/>
      <c r="P54" s="14"/>
      <c r="Q54" s="14"/>
      <c r="R54" s="14"/>
      <c r="S54" s="14"/>
      <c r="T54" s="14"/>
      <c r="U54" s="14"/>
    </row>
    <row r="55" spans="10:21" ht="15" x14ac:dyDescent="0.2">
      <c r="J55" s="35"/>
      <c r="K55" s="147"/>
      <c r="L55" s="341"/>
      <c r="M55" s="341"/>
      <c r="N55" s="341"/>
      <c r="O55" s="341"/>
      <c r="P55" s="341"/>
      <c r="Q55" s="341"/>
      <c r="R55" s="341"/>
      <c r="S55" s="341"/>
      <c r="T55" s="14"/>
      <c r="U55" s="14"/>
    </row>
    <row r="56" spans="10:21" ht="28.5" customHeight="1" x14ac:dyDescent="0.2">
      <c r="J56" s="345"/>
      <c r="K56" s="345"/>
      <c r="L56" s="345"/>
      <c r="M56" s="345"/>
      <c r="N56" s="345"/>
      <c r="O56" s="345"/>
      <c r="P56" s="345"/>
      <c r="Q56" s="345"/>
      <c r="R56" s="346"/>
      <c r="S56" s="347"/>
      <c r="T56" s="345"/>
      <c r="U56" s="348"/>
    </row>
    <row r="57" spans="10:21" x14ac:dyDescent="0.2">
      <c r="J57" s="343"/>
      <c r="K57" s="343"/>
      <c r="L57" s="349"/>
      <c r="M57" s="349"/>
      <c r="N57" s="349"/>
      <c r="O57" s="349"/>
      <c r="P57" s="349"/>
      <c r="Q57" s="349"/>
      <c r="R57" s="350"/>
      <c r="S57" s="350"/>
      <c r="T57" s="351"/>
      <c r="U57" s="351"/>
    </row>
    <row r="58" spans="10:21" x14ac:dyDescent="0.2">
      <c r="J58" s="343"/>
      <c r="K58" s="344"/>
      <c r="L58" s="349"/>
      <c r="M58" s="349"/>
      <c r="N58" s="349"/>
      <c r="O58" s="349"/>
      <c r="P58" s="349"/>
      <c r="Q58" s="349"/>
      <c r="R58" s="350"/>
      <c r="S58" s="350"/>
      <c r="T58" s="351"/>
      <c r="U58" s="351"/>
    </row>
    <row r="59" spans="10:21" x14ac:dyDescent="0.2">
      <c r="J59" s="343"/>
      <c r="K59" s="343"/>
      <c r="L59" s="349"/>
      <c r="M59" s="349"/>
      <c r="N59" s="349"/>
      <c r="O59" s="349"/>
      <c r="P59" s="349"/>
      <c r="Q59" s="349"/>
      <c r="R59" s="350"/>
      <c r="S59" s="350"/>
      <c r="T59" s="351"/>
      <c r="U59" s="351"/>
    </row>
    <row r="60" spans="10:21" x14ac:dyDescent="0.2">
      <c r="J60" s="343"/>
      <c r="K60" s="344"/>
      <c r="L60" s="349"/>
      <c r="M60" s="349"/>
      <c r="N60" s="349"/>
      <c r="O60" s="349"/>
      <c r="P60" s="349"/>
      <c r="Q60" s="349"/>
      <c r="R60" s="350"/>
      <c r="S60" s="350"/>
      <c r="T60" s="351"/>
      <c r="U60" s="351"/>
    </row>
    <row r="61" spans="10:21" x14ac:dyDescent="0.2">
      <c r="J61" s="343"/>
      <c r="K61" s="344"/>
      <c r="L61" s="349"/>
      <c r="M61" s="349"/>
      <c r="N61" s="349"/>
      <c r="O61" s="349"/>
      <c r="P61" s="349"/>
      <c r="Q61" s="349"/>
      <c r="R61" s="350"/>
      <c r="S61" s="350"/>
      <c r="T61" s="351"/>
      <c r="U61" s="351"/>
    </row>
    <row r="62" spans="10:21" x14ac:dyDescent="0.2">
      <c r="J62" s="343"/>
      <c r="K62" s="343"/>
      <c r="L62" s="349"/>
      <c r="M62" s="349"/>
      <c r="N62" s="349"/>
      <c r="O62" s="349"/>
      <c r="P62" s="349"/>
      <c r="Q62" s="349"/>
      <c r="R62" s="350"/>
      <c r="S62" s="350"/>
      <c r="T62" s="351"/>
      <c r="U62" s="351"/>
    </row>
    <row r="63" spans="10:21" x14ac:dyDescent="0.2">
      <c r="J63" s="343"/>
      <c r="K63" s="343"/>
      <c r="L63" s="349"/>
      <c r="M63" s="349"/>
      <c r="N63" s="349"/>
      <c r="O63" s="349"/>
      <c r="P63" s="349"/>
      <c r="Q63" s="349"/>
      <c r="R63" s="350"/>
      <c r="S63" s="350"/>
      <c r="T63" s="351"/>
      <c r="U63" s="351"/>
    </row>
    <row r="64" spans="10:21" x14ac:dyDescent="0.2">
      <c r="J64" s="343"/>
      <c r="K64" s="344"/>
      <c r="L64" s="349"/>
      <c r="M64" s="349"/>
      <c r="N64" s="349"/>
      <c r="O64" s="349"/>
      <c r="P64" s="349"/>
      <c r="Q64" s="349"/>
      <c r="R64" s="350"/>
      <c r="S64" s="350"/>
      <c r="T64" s="351"/>
      <c r="U64" s="351"/>
    </row>
    <row r="65" spans="10:21" x14ac:dyDescent="0.2">
      <c r="J65" s="343"/>
      <c r="K65" s="344"/>
      <c r="L65" s="349"/>
      <c r="M65" s="349"/>
      <c r="N65" s="349"/>
      <c r="O65" s="349"/>
      <c r="P65" s="349"/>
      <c r="Q65" s="349"/>
      <c r="R65" s="350"/>
      <c r="S65" s="350"/>
      <c r="T65" s="351"/>
      <c r="U65" s="351"/>
    </row>
    <row r="66" spans="10:21" x14ac:dyDescent="0.2">
      <c r="J66" s="343"/>
      <c r="K66" s="344"/>
      <c r="L66" s="349"/>
      <c r="M66" s="349"/>
      <c r="N66" s="349"/>
      <c r="O66" s="349"/>
      <c r="P66" s="349"/>
      <c r="Q66" s="349"/>
      <c r="R66" s="350"/>
      <c r="S66" s="350"/>
      <c r="T66" s="351"/>
      <c r="U66" s="351"/>
    </row>
    <row r="67" spans="10:21" x14ac:dyDescent="0.2">
      <c r="J67" s="343"/>
      <c r="K67" s="344"/>
      <c r="L67" s="349"/>
      <c r="M67" s="349"/>
      <c r="N67" s="349"/>
      <c r="O67" s="349"/>
      <c r="P67" s="349"/>
      <c r="Q67" s="349"/>
      <c r="R67" s="350"/>
      <c r="S67" s="350"/>
      <c r="T67" s="351"/>
      <c r="U67" s="351"/>
    </row>
    <row r="68" spans="10:21" x14ac:dyDescent="0.2">
      <c r="J68" s="343"/>
      <c r="K68" s="344"/>
      <c r="L68" s="349"/>
      <c r="M68" s="349"/>
      <c r="N68" s="349"/>
      <c r="O68" s="349"/>
      <c r="P68" s="349"/>
      <c r="Q68" s="349"/>
      <c r="R68" s="350"/>
      <c r="S68" s="350"/>
      <c r="T68" s="351"/>
      <c r="U68" s="351"/>
    </row>
    <row r="69" spans="10:21" x14ac:dyDescent="0.2">
      <c r="J69" s="343"/>
      <c r="K69" s="344"/>
      <c r="L69" s="349"/>
      <c r="M69" s="349"/>
      <c r="N69" s="349"/>
      <c r="O69" s="349"/>
      <c r="P69" s="349"/>
      <c r="Q69" s="349"/>
      <c r="R69" s="350"/>
      <c r="S69" s="350"/>
      <c r="T69" s="351"/>
      <c r="U69" s="351"/>
    </row>
    <row r="70" spans="10:21" x14ac:dyDescent="0.2">
      <c r="J70" s="343"/>
      <c r="K70" s="344"/>
      <c r="L70" s="349"/>
      <c r="M70" s="349"/>
      <c r="N70" s="349"/>
      <c r="O70" s="349"/>
      <c r="P70" s="349"/>
      <c r="Q70" s="349"/>
      <c r="R70" s="350"/>
      <c r="S70" s="350"/>
      <c r="T70" s="351"/>
      <c r="U70" s="351"/>
    </row>
    <row r="71" spans="10:21" x14ac:dyDescent="0.2">
      <c r="J71" s="343"/>
      <c r="K71" s="344"/>
      <c r="L71" s="349"/>
      <c r="M71" s="349"/>
      <c r="N71" s="349"/>
      <c r="O71" s="349"/>
      <c r="P71" s="349"/>
      <c r="Q71" s="349"/>
      <c r="R71" s="350"/>
      <c r="S71" s="350"/>
      <c r="T71" s="351"/>
      <c r="U71" s="351"/>
    </row>
    <row r="72" spans="10:21" x14ac:dyDescent="0.2">
      <c r="J72" s="343"/>
      <c r="K72" s="344"/>
      <c r="L72" s="349"/>
      <c r="M72" s="349"/>
      <c r="N72" s="349"/>
      <c r="O72" s="349"/>
      <c r="P72" s="349"/>
      <c r="Q72" s="349"/>
      <c r="R72" s="350"/>
      <c r="S72" s="350"/>
      <c r="T72" s="351"/>
      <c r="U72" s="351"/>
    </row>
    <row r="73" spans="10:21" x14ac:dyDescent="0.2">
      <c r="J73" s="14"/>
      <c r="K73" s="338"/>
      <c r="L73" s="342"/>
      <c r="M73" s="342"/>
      <c r="N73" s="342"/>
      <c r="O73" s="342"/>
      <c r="P73" s="342"/>
      <c r="Q73" s="342"/>
      <c r="R73" s="342"/>
      <c r="S73" s="342"/>
      <c r="T73" s="342"/>
      <c r="U73" s="342"/>
    </row>
    <row r="74" spans="10:21" x14ac:dyDescent="0.2">
      <c r="J74" s="14"/>
      <c r="K74" s="14"/>
      <c r="L74" s="342"/>
      <c r="M74" s="342"/>
      <c r="N74" s="342"/>
      <c r="O74" s="342"/>
      <c r="P74" s="342"/>
      <c r="Q74" s="342"/>
      <c r="R74" s="342"/>
      <c r="S74" s="342"/>
      <c r="T74" s="342"/>
      <c r="U74" s="342"/>
    </row>
    <row r="75" spans="10:21" ht="15" customHeight="1" x14ac:dyDescent="0.2">
      <c r="J75" s="14"/>
      <c r="K75" s="35"/>
      <c r="L75" s="342"/>
      <c r="M75" s="342"/>
      <c r="N75" s="342"/>
      <c r="O75" s="342"/>
      <c r="P75" s="342"/>
      <c r="Q75" s="342"/>
      <c r="R75" s="342"/>
      <c r="S75" s="342"/>
      <c r="T75" s="342"/>
      <c r="U75" s="342"/>
    </row>
    <row r="76" spans="10:21" ht="30" customHeight="1" x14ac:dyDescent="0.2">
      <c r="J76" s="14"/>
      <c r="K76" s="345"/>
      <c r="L76" s="345"/>
      <c r="M76" s="345"/>
      <c r="N76" s="345"/>
      <c r="O76" s="345"/>
      <c r="P76" s="345"/>
      <c r="Q76" s="345"/>
      <c r="R76" s="345"/>
      <c r="S76" s="14"/>
      <c r="T76" s="14"/>
      <c r="U76" s="14"/>
    </row>
    <row r="77" spans="10:21" x14ac:dyDescent="0.2">
      <c r="J77" s="14"/>
      <c r="K77" s="355"/>
      <c r="L77" s="355"/>
      <c r="M77" s="354"/>
      <c r="N77" s="351"/>
      <c r="O77" s="352"/>
      <c r="P77" s="352"/>
      <c r="Q77" s="353"/>
      <c r="R77" s="353"/>
      <c r="S77" s="14"/>
      <c r="T77" s="14"/>
      <c r="U77" s="14"/>
    </row>
    <row r="78" spans="10:21" x14ac:dyDescent="0.2">
      <c r="J78" s="14"/>
      <c r="K78" s="355"/>
      <c r="L78" s="355"/>
      <c r="M78" s="354"/>
      <c r="N78" s="351"/>
      <c r="O78" s="352"/>
      <c r="P78" s="352"/>
      <c r="Q78" s="353"/>
      <c r="R78" s="353"/>
      <c r="S78" s="14"/>
      <c r="T78" s="14"/>
      <c r="U78" s="14"/>
    </row>
    <row r="79" spans="10:21" x14ac:dyDescent="0.2">
      <c r="J79" s="14"/>
      <c r="K79" s="355"/>
      <c r="L79" s="355"/>
      <c r="M79" s="354"/>
      <c r="N79" s="351"/>
      <c r="O79" s="352"/>
      <c r="P79" s="352"/>
      <c r="Q79" s="353"/>
      <c r="R79" s="353"/>
      <c r="S79" s="14"/>
      <c r="T79" s="14"/>
      <c r="U79" s="14"/>
    </row>
    <row r="80" spans="10:21" x14ac:dyDescent="0.2">
      <c r="J80" s="14"/>
      <c r="K80" s="355"/>
      <c r="L80" s="355"/>
      <c r="M80" s="354"/>
      <c r="N80" s="351"/>
      <c r="O80" s="352"/>
      <c r="P80" s="352"/>
      <c r="Q80" s="353"/>
      <c r="R80" s="353"/>
      <c r="S80" s="14"/>
      <c r="T80" s="14"/>
      <c r="U80" s="14"/>
    </row>
    <row r="81" spans="10:21" x14ac:dyDescent="0.2">
      <c r="J81" s="14"/>
      <c r="K81" s="355"/>
      <c r="L81" s="355"/>
      <c r="M81" s="354"/>
      <c r="N81" s="351"/>
      <c r="O81" s="352"/>
      <c r="P81" s="352"/>
      <c r="Q81" s="353"/>
      <c r="R81" s="353"/>
      <c r="S81" s="14"/>
      <c r="T81" s="14"/>
      <c r="U81" s="14"/>
    </row>
    <row r="82" spans="10:21" x14ac:dyDescent="0.2">
      <c r="J82" s="14"/>
      <c r="K82" s="355"/>
      <c r="L82" s="355"/>
      <c r="M82" s="354"/>
      <c r="N82" s="351"/>
      <c r="O82" s="352"/>
      <c r="P82" s="352"/>
      <c r="Q82" s="353"/>
      <c r="R82" s="353"/>
      <c r="S82" s="14"/>
      <c r="T82" s="14"/>
      <c r="U82" s="14"/>
    </row>
    <row r="83" spans="10:21" x14ac:dyDescent="0.2">
      <c r="J83" s="14"/>
      <c r="K83" s="355"/>
      <c r="L83" s="355"/>
      <c r="M83" s="354"/>
      <c r="N83" s="351"/>
      <c r="O83" s="352"/>
      <c r="P83" s="352"/>
      <c r="Q83" s="353"/>
      <c r="R83" s="353"/>
      <c r="S83" s="14"/>
      <c r="T83" s="14"/>
      <c r="U83" s="14"/>
    </row>
    <row r="84" spans="10:21" x14ac:dyDescent="0.2">
      <c r="J84" s="14"/>
      <c r="K84" s="355"/>
      <c r="L84" s="355"/>
      <c r="M84" s="354"/>
      <c r="N84" s="351"/>
      <c r="O84" s="352"/>
      <c r="P84" s="352"/>
      <c r="Q84" s="353"/>
      <c r="R84" s="353"/>
      <c r="S84" s="14"/>
      <c r="T84" s="14"/>
      <c r="U84" s="14"/>
    </row>
    <row r="85" spans="10:21" x14ac:dyDescent="0.2">
      <c r="J85" s="14"/>
      <c r="K85" s="355"/>
      <c r="L85" s="355"/>
      <c r="M85" s="354"/>
      <c r="N85" s="351"/>
      <c r="O85" s="352"/>
      <c r="P85" s="352"/>
      <c r="Q85" s="353"/>
      <c r="R85" s="353"/>
      <c r="S85" s="14"/>
      <c r="T85" s="14"/>
      <c r="U85" s="14"/>
    </row>
    <row r="86" spans="10:21" x14ac:dyDescent="0.2">
      <c r="J86" s="14"/>
      <c r="K86" s="355"/>
      <c r="L86" s="355"/>
      <c r="M86" s="354"/>
      <c r="N86" s="351"/>
      <c r="O86" s="352"/>
      <c r="P86" s="352"/>
      <c r="Q86" s="353"/>
      <c r="R86" s="353"/>
      <c r="S86" s="14"/>
      <c r="T86" s="14"/>
      <c r="U86" s="14"/>
    </row>
    <row r="87" spans="10:21" x14ac:dyDescent="0.2">
      <c r="J87" s="14"/>
      <c r="K87" s="355"/>
      <c r="L87" s="355"/>
      <c r="M87" s="354"/>
      <c r="N87" s="351"/>
      <c r="O87" s="352"/>
      <c r="P87" s="352"/>
      <c r="Q87" s="353"/>
      <c r="R87" s="353"/>
      <c r="S87" s="14"/>
      <c r="T87" s="14"/>
      <c r="U87" s="14"/>
    </row>
    <row r="88" spans="10:21" x14ac:dyDescent="0.2">
      <c r="J88" s="14"/>
      <c r="K88" s="355"/>
      <c r="L88" s="355"/>
      <c r="M88" s="354"/>
      <c r="N88" s="351"/>
      <c r="O88" s="352"/>
      <c r="P88" s="352"/>
      <c r="Q88" s="353"/>
      <c r="R88" s="353"/>
      <c r="S88" s="14"/>
      <c r="T88" s="14"/>
      <c r="U88" s="14"/>
    </row>
    <row r="89" spans="10:21" x14ac:dyDescent="0.2">
      <c r="J89" s="14"/>
      <c r="K89" s="355"/>
      <c r="L89" s="355"/>
      <c r="M89" s="354"/>
      <c r="N89" s="351"/>
      <c r="O89" s="352"/>
      <c r="P89" s="352"/>
      <c r="Q89" s="353"/>
      <c r="R89" s="353"/>
      <c r="S89" s="14"/>
      <c r="T89" s="14"/>
      <c r="U89" s="14"/>
    </row>
    <row r="90" spans="10:21" x14ac:dyDescent="0.2">
      <c r="J90" s="14"/>
      <c r="K90" s="355"/>
      <c r="L90" s="355"/>
      <c r="M90" s="354"/>
      <c r="N90" s="351"/>
      <c r="O90" s="352"/>
      <c r="P90" s="352"/>
      <c r="Q90" s="353"/>
      <c r="R90" s="353"/>
      <c r="S90" s="14"/>
      <c r="T90" s="14"/>
      <c r="U90" s="14"/>
    </row>
    <row r="91" spans="10:21" x14ac:dyDescent="0.2">
      <c r="J91" s="14"/>
      <c r="K91" s="355"/>
      <c r="L91" s="355"/>
      <c r="M91" s="354"/>
      <c r="N91" s="351"/>
      <c r="O91" s="352"/>
      <c r="P91" s="352"/>
      <c r="Q91" s="353"/>
      <c r="R91" s="353"/>
      <c r="S91" s="14"/>
      <c r="T91" s="14"/>
      <c r="U91" s="14"/>
    </row>
    <row r="92" spans="10:21" x14ac:dyDescent="0.2">
      <c r="J92" s="14"/>
      <c r="K92" s="355"/>
      <c r="L92" s="355"/>
      <c r="M92" s="354"/>
      <c r="N92" s="351"/>
      <c r="O92" s="352"/>
      <c r="P92" s="352"/>
      <c r="Q92" s="353"/>
      <c r="R92" s="353"/>
      <c r="S92" s="14"/>
      <c r="T92" s="14"/>
      <c r="U92" s="14"/>
    </row>
    <row r="93" spans="10:21" ht="15" x14ac:dyDescent="0.2">
      <c r="J93" s="14"/>
      <c r="K93" s="14"/>
      <c r="L93" s="339"/>
      <c r="M93" s="357"/>
      <c r="N93" s="357"/>
      <c r="O93" s="14"/>
      <c r="P93" s="339"/>
      <c r="Q93" s="356"/>
      <c r="R93" s="356"/>
      <c r="S93" s="14"/>
      <c r="T93" s="14"/>
      <c r="U93" s="14"/>
    </row>
    <row r="94" spans="10:21" ht="15" x14ac:dyDescent="0.2">
      <c r="L94" s="146"/>
      <c r="M94" s="148"/>
      <c r="N94" s="148"/>
      <c r="O94" s="12"/>
      <c r="P94" s="146"/>
      <c r="Q94" s="149"/>
      <c r="R94" s="149"/>
    </row>
  </sheetData>
  <sheetProtection algorithmName="SHA-512" hashValue="KpWjAmp0E0AUPHNv4SRZMrU7+nIEUx32D8rZqB4PrJBnE5gmxi5m7WhrjVaYfbZcXaHDWx5sXs7ek7+I84Vwbw==" saltValue="AgxExhuvZprLha194Qy/Qw==" spinCount="100000" sheet="1" formatCells="0"/>
  <mergeCells count="64">
    <mergeCell ref="J21:U21"/>
    <mergeCell ref="J37:P37"/>
    <mergeCell ref="J29:M29"/>
    <mergeCell ref="J24:N24"/>
    <mergeCell ref="J18:Q18"/>
    <mergeCell ref="A2:D2"/>
    <mergeCell ref="C14:G14"/>
    <mergeCell ref="J2:K2"/>
    <mergeCell ref="J3:K3"/>
    <mergeCell ref="J19:T19"/>
    <mergeCell ref="J8:U16"/>
    <mergeCell ref="E15:G15"/>
    <mergeCell ref="A3:C3"/>
    <mergeCell ref="F8:G8"/>
    <mergeCell ref="F12:G12"/>
    <mergeCell ref="D6:F6"/>
    <mergeCell ref="C7:F7"/>
    <mergeCell ref="D11:F11"/>
    <mergeCell ref="A5:G5"/>
    <mergeCell ref="C10:G10"/>
    <mergeCell ref="B18:H18"/>
    <mergeCell ref="B17:E17"/>
    <mergeCell ref="B28:E28"/>
    <mergeCell ref="B19:H19"/>
    <mergeCell ref="H35:I35"/>
    <mergeCell ref="H36:I36"/>
    <mergeCell ref="F33:G33"/>
    <mergeCell ref="B20:H20"/>
    <mergeCell ref="B21:H21"/>
    <mergeCell ref="F30:G30"/>
    <mergeCell ref="F31:G31"/>
    <mergeCell ref="F32:G32"/>
    <mergeCell ref="H37:I37"/>
    <mergeCell ref="F37:G37"/>
    <mergeCell ref="A1:I1"/>
    <mergeCell ref="F36:G36"/>
    <mergeCell ref="H29:I29"/>
    <mergeCell ref="H30:I30"/>
    <mergeCell ref="H31:I31"/>
    <mergeCell ref="B29:D29"/>
    <mergeCell ref="B30:D30"/>
    <mergeCell ref="B31:D31"/>
    <mergeCell ref="B32:D32"/>
    <mergeCell ref="B33:D33"/>
    <mergeCell ref="B34:D34"/>
    <mergeCell ref="B35:D35"/>
    <mergeCell ref="B36:D36"/>
    <mergeCell ref="H32:I32"/>
    <mergeCell ref="D45:F45"/>
    <mergeCell ref="G22:H22"/>
    <mergeCell ref="G23:H23"/>
    <mergeCell ref="B39:H39"/>
    <mergeCell ref="B40:H40"/>
    <mergeCell ref="B41:H41"/>
    <mergeCell ref="H33:I33"/>
    <mergeCell ref="H34:I34"/>
    <mergeCell ref="C26:F26"/>
    <mergeCell ref="D44:F44"/>
    <mergeCell ref="F34:G34"/>
    <mergeCell ref="F35:G35"/>
    <mergeCell ref="F29:G29"/>
    <mergeCell ref="D42:F42"/>
    <mergeCell ref="D43:F43"/>
    <mergeCell ref="G24:H24"/>
  </mergeCells>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3"/>
  <sheetViews>
    <sheetView topLeftCell="A16" zoomScaleNormal="100" workbookViewId="0">
      <selection activeCell="I41" sqref="I41"/>
    </sheetView>
  </sheetViews>
  <sheetFormatPr defaultRowHeight="12.75" x14ac:dyDescent="0.2"/>
  <cols>
    <col min="1" max="7" width="9.140625" style="3"/>
    <col min="8" max="8" width="10.28515625" style="3" customWidth="1"/>
    <col min="9" max="14" width="9.140625" style="3"/>
    <col min="15" max="15" width="10.28515625" style="3" customWidth="1"/>
    <col min="16" max="16384" width="9.140625" style="3"/>
  </cols>
  <sheetData>
    <row r="1" spans="1:17" ht="30" customHeight="1" thickBot="1" x14ac:dyDescent="0.25">
      <c r="A1" s="421" t="s">
        <v>51</v>
      </c>
      <c r="B1" s="421"/>
      <c r="C1" s="421"/>
      <c r="D1" s="421"/>
      <c r="E1" s="421"/>
      <c r="F1" s="421"/>
      <c r="G1" s="421"/>
      <c r="H1" s="421"/>
      <c r="I1" s="421"/>
    </row>
    <row r="2" spans="1:17" ht="18.75" thickBot="1" x14ac:dyDescent="0.25">
      <c r="A2" s="472" t="str">
        <f>IF('Project Information'!C3="","Project Name",'Project Information'!C3)</f>
        <v>Project Name</v>
      </c>
      <c r="B2" s="473"/>
      <c r="C2" s="473"/>
      <c r="D2" s="474"/>
      <c r="I2" s="35"/>
      <c r="J2" s="419" t="s">
        <v>15</v>
      </c>
      <c r="K2" s="420"/>
    </row>
    <row r="3" spans="1:17" ht="18.75" thickBot="1" x14ac:dyDescent="0.25">
      <c r="A3" s="480" t="str">
        <f>IF('Project Information'!C4="","Project Number",'Project Information'!C4)</f>
        <v>Project Number</v>
      </c>
      <c r="B3" s="480"/>
      <c r="C3" s="480"/>
      <c r="E3" s="182" t="s">
        <v>27</v>
      </c>
      <c r="F3" s="25"/>
      <c r="I3" s="35"/>
      <c r="J3" s="422" t="s">
        <v>16</v>
      </c>
      <c r="K3" s="423"/>
    </row>
    <row r="5" spans="1:17" ht="13.5" thickBot="1" x14ac:dyDescent="0.25">
      <c r="G5" s="183" t="s">
        <v>183</v>
      </c>
      <c r="H5" s="6"/>
      <c r="I5" s="183" t="s">
        <v>183</v>
      </c>
      <c r="J5" s="6"/>
    </row>
    <row r="6" spans="1:17" ht="13.5" thickBot="1" x14ac:dyDescent="0.25">
      <c r="A6" s="496" t="s">
        <v>53</v>
      </c>
      <c r="B6" s="496"/>
      <c r="C6" s="496"/>
      <c r="D6" s="42"/>
      <c r="E6" s="468" t="s">
        <v>58</v>
      </c>
      <c r="F6" s="468"/>
      <c r="G6" s="43"/>
      <c r="H6" s="184" t="s">
        <v>59</v>
      </c>
      <c r="I6" s="43"/>
      <c r="J6" s="497" t="s">
        <v>210</v>
      </c>
      <c r="K6" s="482"/>
      <c r="L6" s="482"/>
      <c r="M6" s="482"/>
      <c r="N6" s="482"/>
      <c r="O6" s="482"/>
      <c r="P6" s="482"/>
      <c r="Q6" s="98"/>
    </row>
    <row r="7" spans="1:17" x14ac:dyDescent="0.2">
      <c r="J7" s="98"/>
      <c r="K7" s="98"/>
      <c r="L7" s="98"/>
      <c r="M7" s="98"/>
      <c r="N7" s="98"/>
      <c r="O7" s="98"/>
      <c r="P7" s="98"/>
      <c r="Q7" s="98"/>
    </row>
    <row r="8" spans="1:17" x14ac:dyDescent="0.2">
      <c r="J8" s="98"/>
      <c r="K8" s="98"/>
      <c r="L8" s="98"/>
      <c r="M8" s="98"/>
      <c r="N8" s="98"/>
      <c r="O8" s="98"/>
      <c r="P8" s="98"/>
      <c r="Q8" s="98"/>
    </row>
    <row r="9" spans="1:17" ht="24" customHeight="1" x14ac:dyDescent="0.2">
      <c r="A9" s="44"/>
      <c r="B9" s="467" t="s">
        <v>52</v>
      </c>
      <c r="C9" s="467"/>
      <c r="D9" s="467"/>
      <c r="E9" s="467"/>
      <c r="F9" s="467"/>
      <c r="G9" s="467"/>
      <c r="J9" s="98"/>
      <c r="K9" s="98"/>
      <c r="L9" s="98"/>
      <c r="M9" s="98"/>
      <c r="N9" s="98"/>
      <c r="O9" s="98"/>
      <c r="P9" s="98"/>
      <c r="Q9" s="98"/>
    </row>
    <row r="10" spans="1:17" ht="13.5" thickBot="1" x14ac:dyDescent="0.25">
      <c r="I10" s="45"/>
      <c r="J10" s="98"/>
      <c r="K10" s="98"/>
      <c r="L10" s="98"/>
      <c r="M10" s="98"/>
      <c r="N10" s="98"/>
      <c r="O10" s="98"/>
      <c r="P10" s="98"/>
      <c r="Q10" s="98"/>
    </row>
    <row r="11" spans="1:17" ht="15.75" thickBot="1" x14ac:dyDescent="0.25">
      <c r="B11" s="37"/>
      <c r="C11" s="37"/>
      <c r="D11" s="482" t="s">
        <v>10</v>
      </c>
      <c r="E11" s="482"/>
      <c r="F11" s="482"/>
      <c r="G11" s="175" t="s">
        <v>39</v>
      </c>
      <c r="H11" s="61">
        <f>'Priority Score &amp; PF%'!H6</f>
        <v>0</v>
      </c>
      <c r="I11" s="33"/>
      <c r="J11" s="430" t="s">
        <v>10</v>
      </c>
      <c r="K11" s="430"/>
      <c r="L11" s="430"/>
      <c r="M11" s="220"/>
      <c r="N11" s="98"/>
      <c r="O11" s="98"/>
      <c r="P11" s="98"/>
      <c r="Q11" s="98"/>
    </row>
    <row r="12" spans="1:17" ht="15.75" thickBot="1" x14ac:dyDescent="0.25">
      <c r="B12" s="37"/>
      <c r="C12" s="482" t="s">
        <v>11</v>
      </c>
      <c r="D12" s="482"/>
      <c r="E12" s="482"/>
      <c r="F12" s="482"/>
      <c r="G12" s="175" t="s">
        <v>38</v>
      </c>
      <c r="H12" s="61">
        <f>'Priority Score &amp; PF%'!H7</f>
        <v>55600</v>
      </c>
      <c r="J12" s="430" t="s">
        <v>11</v>
      </c>
      <c r="K12" s="430"/>
      <c r="L12" s="430"/>
      <c r="M12" s="430"/>
      <c r="N12" s="98"/>
      <c r="O12" s="98"/>
      <c r="P12" s="98"/>
      <c r="Q12" s="98"/>
    </row>
    <row r="13" spans="1:17" ht="13.5" thickBot="1" x14ac:dyDescent="0.25">
      <c r="J13" s="98"/>
      <c r="K13" s="98"/>
      <c r="L13" s="98"/>
      <c r="M13" s="98"/>
      <c r="N13" s="98"/>
      <c r="O13" s="98"/>
      <c r="P13" s="100"/>
      <c r="Q13" s="98"/>
    </row>
    <row r="14" spans="1:17" ht="15" thickBot="1" x14ac:dyDescent="0.25">
      <c r="A14" s="38"/>
      <c r="B14" s="468" t="s">
        <v>142</v>
      </c>
      <c r="C14" s="468"/>
      <c r="D14" s="468"/>
      <c r="E14" s="468"/>
      <c r="F14" s="468"/>
      <c r="G14" s="468"/>
      <c r="H14" s="469"/>
      <c r="I14" s="26" t="s">
        <v>345</v>
      </c>
      <c r="J14" s="483" t="s">
        <v>275</v>
      </c>
      <c r="K14" s="484"/>
      <c r="L14" s="484"/>
      <c r="M14" s="484"/>
      <c r="N14" s="484"/>
      <c r="O14" s="358"/>
      <c r="P14" s="100"/>
      <c r="Q14" s="98"/>
    </row>
    <row r="15" spans="1:17" ht="13.5" thickBot="1" x14ac:dyDescent="0.25">
      <c r="A15" s="38"/>
      <c r="B15" s="38"/>
      <c r="C15" s="38"/>
      <c r="D15" s="468" t="s">
        <v>132</v>
      </c>
      <c r="E15" s="468"/>
      <c r="F15" s="468"/>
      <c r="G15" s="468"/>
      <c r="H15" s="469"/>
      <c r="I15" s="26"/>
      <c r="J15" s="483" t="s">
        <v>134</v>
      </c>
      <c r="K15" s="484"/>
      <c r="L15" s="484"/>
      <c r="M15" s="484"/>
      <c r="N15" s="484"/>
      <c r="O15" s="98"/>
      <c r="P15" s="100"/>
      <c r="Q15" s="98"/>
    </row>
    <row r="16" spans="1:17" ht="13.5" customHeight="1" thickBot="1" x14ac:dyDescent="0.25">
      <c r="A16" s="38"/>
      <c r="B16" s="15"/>
      <c r="C16" s="46"/>
      <c r="D16" s="498" t="s">
        <v>133</v>
      </c>
      <c r="E16" s="498"/>
      <c r="F16" s="498"/>
      <c r="G16" s="498"/>
      <c r="H16" s="499"/>
      <c r="I16" s="26"/>
      <c r="J16" s="483" t="s">
        <v>135</v>
      </c>
      <c r="K16" s="484"/>
      <c r="L16" s="484"/>
      <c r="M16" s="484"/>
      <c r="N16" s="484"/>
      <c r="O16" s="98"/>
      <c r="P16" s="100"/>
      <c r="Q16" s="98"/>
    </row>
    <row r="17" spans="1:17" ht="13.5" thickBot="1" x14ac:dyDescent="0.25">
      <c r="J17" s="98"/>
      <c r="K17" s="98"/>
      <c r="L17" s="98"/>
      <c r="M17" s="98"/>
      <c r="N17" s="98"/>
      <c r="O17" s="98"/>
      <c r="P17" s="100"/>
      <c r="Q17" s="98"/>
    </row>
    <row r="18" spans="1:17" ht="15.75" thickBot="1" x14ac:dyDescent="0.3">
      <c r="A18" s="38"/>
      <c r="B18" s="468" t="s">
        <v>137</v>
      </c>
      <c r="C18" s="468"/>
      <c r="D18" s="468"/>
      <c r="E18" s="468"/>
      <c r="F18" s="468"/>
      <c r="G18" s="468"/>
      <c r="H18" s="185" t="s">
        <v>136</v>
      </c>
      <c r="I18" s="29">
        <f>IF(AND($I$15="yes",$I$16&lt;="no",$I$14&lt;="no"),60,IF(AND($I$16="yes",$I$15&lt;="no",$I$14&lt;="no"),75,IF(OR($H$11&lt;=0,$H$12&lt;=0),0,IF(AND($H$12&gt;0,$H$11&gt;0,$I$14="yes",$I$15&lt;="no",$I$16&lt;="no",(40*($H$11/$H$12)+15)&gt;75),75,IF(AND($H$12&gt;0,$H$11&gt;0,$I$14="yes",$I$15&lt;="no",$I$16&lt;="no",(40*($H$11/$H$12)+15)&lt;35),35,IF(AND($H$12&gt;0,$H$11&gt;0,$I$14="yes",$I$15&lt;="no",$I$16&lt;="no"),ROUND((40*($H$11/$H$12)+15),2),0))))))</f>
        <v>0</v>
      </c>
      <c r="J18" s="486" t="s">
        <v>54</v>
      </c>
      <c r="K18" s="487"/>
      <c r="L18" s="487"/>
      <c r="M18" s="487"/>
      <c r="N18" s="101"/>
      <c r="O18" s="98"/>
      <c r="P18" s="98"/>
      <c r="Q18" s="98"/>
    </row>
    <row r="19" spans="1:17" ht="13.5" thickBot="1" x14ac:dyDescent="0.25">
      <c r="A19" s="6"/>
      <c r="J19" s="98"/>
      <c r="K19" s="98"/>
      <c r="L19" s="98"/>
      <c r="M19" s="98"/>
      <c r="N19" s="98"/>
      <c r="O19" s="98"/>
      <c r="P19" s="98"/>
      <c r="Q19" s="98"/>
    </row>
    <row r="20" spans="1:17" ht="15.75" customHeight="1" thickBot="1" x14ac:dyDescent="0.25">
      <c r="C20" s="478" t="s">
        <v>65</v>
      </c>
      <c r="D20" s="478"/>
      <c r="E20" s="478"/>
      <c r="F20" s="478"/>
      <c r="G20" s="478"/>
      <c r="H20" s="479"/>
      <c r="I20" s="28" t="str">
        <f>IF(OR($G$6="",$I$6=""),"",IF($I$18/100*$D$6&lt;0.2,0.2,$I$18/100*$D$6))</f>
        <v/>
      </c>
      <c r="J20" s="483" t="s">
        <v>57</v>
      </c>
      <c r="K20" s="430"/>
      <c r="L20" s="430"/>
      <c r="M20" s="430"/>
      <c r="N20" s="430"/>
      <c r="O20" s="98"/>
      <c r="P20" s="98"/>
      <c r="Q20" s="98"/>
    </row>
    <row r="21" spans="1:17" x14ac:dyDescent="0.2">
      <c r="A21" s="6"/>
      <c r="D21" s="6"/>
      <c r="J21" s="500" t="s">
        <v>279</v>
      </c>
      <c r="K21" s="500"/>
      <c r="L21" s="500"/>
      <c r="M21" s="500"/>
      <c r="N21" s="98"/>
      <c r="O21" s="98"/>
      <c r="P21" s="98"/>
      <c r="Q21" s="98"/>
    </row>
    <row r="22" spans="1:17" x14ac:dyDescent="0.2">
      <c r="A22" s="6"/>
      <c r="E22" s="6"/>
      <c r="J22" s="98"/>
      <c r="K22" s="98"/>
      <c r="L22" s="98"/>
      <c r="M22" s="98"/>
      <c r="N22" s="98"/>
      <c r="O22" s="98"/>
      <c r="P22" s="98"/>
      <c r="Q22" s="98"/>
    </row>
    <row r="23" spans="1:17" ht="21.75" customHeight="1" x14ac:dyDescent="0.2">
      <c r="B23" s="467" t="s">
        <v>60</v>
      </c>
      <c r="C23" s="467"/>
      <c r="D23" s="467"/>
      <c r="E23" s="467"/>
      <c r="F23" s="467"/>
      <c r="G23" s="467"/>
      <c r="H23" s="6"/>
      <c r="J23" s="98"/>
      <c r="K23" s="98"/>
      <c r="L23" s="98"/>
      <c r="M23" s="98"/>
      <c r="N23" s="98"/>
      <c r="O23" s="98"/>
      <c r="P23" s="98"/>
      <c r="Q23" s="98"/>
    </row>
    <row r="24" spans="1:17" ht="13.5" thickBot="1" x14ac:dyDescent="0.25">
      <c r="D24" s="6"/>
      <c r="J24" s="98"/>
      <c r="K24" s="98"/>
      <c r="L24" s="98"/>
      <c r="M24" s="98"/>
      <c r="N24" s="98"/>
      <c r="O24" s="98"/>
      <c r="P24" s="98"/>
      <c r="Q24" s="98"/>
    </row>
    <row r="25" spans="1:17" ht="13.5" thickBot="1" x14ac:dyDescent="0.25">
      <c r="B25" s="468" t="s">
        <v>277</v>
      </c>
      <c r="C25" s="468"/>
      <c r="D25" s="468"/>
      <c r="E25" s="468"/>
      <c r="F25" s="468"/>
      <c r="G25" s="468"/>
      <c r="H25" s="469"/>
      <c r="I25" s="47"/>
      <c r="J25" s="497" t="s">
        <v>276</v>
      </c>
      <c r="K25" s="482"/>
      <c r="L25" s="482"/>
      <c r="M25" s="482"/>
      <c r="N25" s="482"/>
      <c r="O25" s="482"/>
      <c r="P25" s="296"/>
      <c r="Q25" s="98"/>
    </row>
    <row r="26" spans="1:17" ht="15.75" thickBot="1" x14ac:dyDescent="0.25">
      <c r="F26" s="478" t="s">
        <v>278</v>
      </c>
      <c r="G26" s="478"/>
      <c r="H26" s="479"/>
      <c r="I26" s="32">
        <f>IF($I$25="yes",0.5,0)</f>
        <v>0</v>
      </c>
      <c r="J26" s="98"/>
      <c r="K26" s="98"/>
      <c r="L26" s="98"/>
      <c r="M26" s="98"/>
      <c r="N26" s="98"/>
      <c r="O26" s="98"/>
      <c r="P26" s="98"/>
      <c r="Q26" s="98"/>
    </row>
    <row r="27" spans="1:17" ht="13.5" thickBot="1" x14ac:dyDescent="0.25">
      <c r="B27" s="39"/>
      <c r="C27" s="468" t="s">
        <v>146</v>
      </c>
      <c r="D27" s="468"/>
      <c r="E27" s="468"/>
      <c r="F27" s="468"/>
      <c r="G27" s="468"/>
      <c r="H27" s="469"/>
      <c r="I27" s="47" t="s">
        <v>346</v>
      </c>
      <c r="J27" s="98"/>
      <c r="K27" s="98"/>
      <c r="L27" s="98"/>
      <c r="M27" s="98"/>
      <c r="N27" s="98"/>
      <c r="O27" s="98"/>
      <c r="P27" s="98"/>
      <c r="Q27" s="98"/>
    </row>
    <row r="28" spans="1:17" ht="15.75" thickBot="1" x14ac:dyDescent="0.25">
      <c r="E28" s="48"/>
      <c r="G28" s="478" t="s">
        <v>61</v>
      </c>
      <c r="H28" s="479"/>
      <c r="I28" s="32">
        <f>IF($I$27="yes",0.25,0)</f>
        <v>0</v>
      </c>
      <c r="J28" s="98"/>
      <c r="K28" s="98"/>
      <c r="L28" s="98"/>
      <c r="M28" s="98"/>
      <c r="N28" s="98"/>
      <c r="O28" s="98"/>
      <c r="P28" s="98"/>
      <c r="Q28" s="98"/>
    </row>
    <row r="29" spans="1:17" ht="13.5" thickBot="1" x14ac:dyDescent="0.25">
      <c r="B29" s="468" t="s">
        <v>147</v>
      </c>
      <c r="C29" s="468"/>
      <c r="D29" s="468"/>
      <c r="E29" s="468"/>
      <c r="F29" s="468"/>
      <c r="G29" s="468"/>
      <c r="H29" s="469"/>
      <c r="I29" s="47" t="s">
        <v>346</v>
      </c>
      <c r="J29" s="98"/>
      <c r="K29" s="98"/>
      <c r="L29" s="98"/>
      <c r="M29" s="98"/>
      <c r="N29" s="98"/>
      <c r="O29" s="98"/>
      <c r="P29" s="98"/>
      <c r="Q29" s="98"/>
    </row>
    <row r="30" spans="1:17" ht="15.75" thickBot="1" x14ac:dyDescent="0.25">
      <c r="G30" s="478" t="s">
        <v>62</v>
      </c>
      <c r="H30" s="479"/>
      <c r="I30" s="32">
        <f>IF($I$29="yes",0.25,0)</f>
        <v>0</v>
      </c>
      <c r="J30" s="98"/>
      <c r="K30" s="98"/>
      <c r="L30" s="98"/>
      <c r="M30" s="98"/>
      <c r="N30" s="98"/>
      <c r="O30" s="98"/>
      <c r="P30" s="98"/>
      <c r="Q30" s="98"/>
    </row>
    <row r="31" spans="1:17" ht="13.5" thickBot="1" x14ac:dyDescent="0.25">
      <c r="J31" s="98"/>
      <c r="K31" s="98"/>
      <c r="L31" s="98"/>
      <c r="M31" s="98"/>
      <c r="N31" s="98"/>
      <c r="O31" s="98"/>
      <c r="P31" s="98"/>
      <c r="Q31" s="98"/>
    </row>
    <row r="32" spans="1:17" ht="15.75" thickBot="1" x14ac:dyDescent="0.25">
      <c r="D32" s="478" t="s">
        <v>63</v>
      </c>
      <c r="E32" s="478"/>
      <c r="F32" s="478"/>
      <c r="G32" s="478"/>
      <c r="H32" s="479"/>
      <c r="I32" s="28" t="str">
        <f>IF($I$20="","", IF(($I$20-($I$26+$I$28+$I$30))&lt;0.2,0.2,($I$20-($I$26+$I$28+$I$30))))</f>
        <v/>
      </c>
      <c r="J32" s="98"/>
      <c r="K32" s="98"/>
      <c r="L32" s="98"/>
      <c r="M32" s="98"/>
      <c r="N32" s="98"/>
      <c r="O32" s="98"/>
      <c r="P32" s="98"/>
      <c r="Q32" s="98"/>
    </row>
    <row r="33" spans="1:18" x14ac:dyDescent="0.2">
      <c r="J33" s="98"/>
      <c r="K33" s="98"/>
      <c r="L33" s="98"/>
      <c r="M33" s="98"/>
      <c r="N33" s="98"/>
      <c r="O33" s="98"/>
      <c r="P33" s="98"/>
      <c r="Q33" s="98"/>
    </row>
    <row r="34" spans="1:18" ht="19.5" customHeight="1" x14ac:dyDescent="0.2">
      <c r="B34" s="467" t="s">
        <v>252</v>
      </c>
      <c r="C34" s="467"/>
      <c r="D34" s="467"/>
      <c r="E34" s="467"/>
      <c r="F34" s="467"/>
      <c r="G34" s="467"/>
      <c r="H34" s="467"/>
      <c r="I34" s="467"/>
      <c r="J34" s="98"/>
      <c r="K34" s="98"/>
      <c r="L34" s="98"/>
      <c r="M34" s="98"/>
      <c r="N34" s="98"/>
      <c r="O34" s="98"/>
      <c r="P34" s="98"/>
      <c r="Q34" s="98"/>
    </row>
    <row r="35" spans="1:18" ht="13.5" thickBot="1" x14ac:dyDescent="0.25">
      <c r="B35" s="49"/>
      <c r="C35" s="49"/>
      <c r="D35" s="49"/>
      <c r="E35" s="49"/>
      <c r="J35" s="98"/>
      <c r="K35" s="98"/>
      <c r="L35" s="98"/>
      <c r="M35" s="98"/>
      <c r="N35" s="98"/>
      <c r="O35" s="98"/>
      <c r="P35" s="98"/>
      <c r="Q35" s="98"/>
    </row>
    <row r="36" spans="1:18" ht="13.5" thickBot="1" x14ac:dyDescent="0.25">
      <c r="B36" s="15"/>
      <c r="C36" s="291"/>
      <c r="D36" s="494" t="s">
        <v>253</v>
      </c>
      <c r="E36" s="494"/>
      <c r="F36" s="494"/>
      <c r="G36" s="494"/>
      <c r="H36" s="494"/>
      <c r="I36" s="292"/>
      <c r="J36" s="98"/>
      <c r="K36" s="98"/>
      <c r="L36" s="98"/>
      <c r="M36" s="98"/>
      <c r="N36" s="98"/>
      <c r="O36" s="98"/>
      <c r="P36" s="98"/>
      <c r="Q36" s="98"/>
    </row>
    <row r="37" spans="1:18" ht="13.5" thickBot="1" x14ac:dyDescent="0.25">
      <c r="B37" s="494" t="s">
        <v>255</v>
      </c>
      <c r="C37" s="494"/>
      <c r="D37" s="494"/>
      <c r="E37" s="494"/>
      <c r="F37" s="494"/>
      <c r="G37" s="494"/>
      <c r="H37" s="494"/>
      <c r="I37" s="292" t="s">
        <v>345</v>
      </c>
      <c r="J37" s="492" t="s">
        <v>258</v>
      </c>
      <c r="K37" s="493"/>
      <c r="L37" s="493"/>
      <c r="M37" s="493"/>
      <c r="N37" s="493"/>
      <c r="O37" s="493"/>
      <c r="P37" s="493"/>
      <c r="Q37" s="98"/>
    </row>
    <row r="38" spans="1:18" ht="13.5" thickBot="1" x14ac:dyDescent="0.25">
      <c r="B38" s="291"/>
      <c r="C38" s="291"/>
      <c r="D38" s="291"/>
      <c r="E38" s="494" t="s">
        <v>254</v>
      </c>
      <c r="F38" s="494"/>
      <c r="G38" s="494"/>
      <c r="H38" s="495"/>
      <c r="I38" s="293" t="s">
        <v>345</v>
      </c>
      <c r="J38" s="98"/>
      <c r="K38" s="98"/>
      <c r="L38" s="98"/>
      <c r="M38" s="98"/>
      <c r="N38" s="98"/>
      <c r="O38" s="98"/>
      <c r="P38" s="98"/>
      <c r="Q38" s="98"/>
    </row>
    <row r="39" spans="1:18" ht="13.5" thickBot="1" x14ac:dyDescent="0.25">
      <c r="A39" s="98"/>
      <c r="B39" s="291"/>
      <c r="C39" s="15"/>
      <c r="D39" s="494" t="s">
        <v>257</v>
      </c>
      <c r="E39" s="494"/>
      <c r="F39" s="494"/>
      <c r="G39" s="494"/>
      <c r="H39" s="495"/>
      <c r="I39" s="294"/>
      <c r="J39" s="98"/>
      <c r="K39" s="98"/>
      <c r="L39" s="98"/>
      <c r="M39" s="98"/>
      <c r="N39" s="98"/>
      <c r="O39" s="98"/>
      <c r="P39" s="98"/>
      <c r="Q39" s="98"/>
    </row>
    <row r="40" spans="1:18" ht="13.5" thickBot="1" x14ac:dyDescent="0.25">
      <c r="B40" s="468" t="s">
        <v>256</v>
      </c>
      <c r="C40" s="468"/>
      <c r="D40" s="468"/>
      <c r="E40" s="468"/>
      <c r="F40" s="468"/>
      <c r="G40" s="468"/>
      <c r="H40" s="469"/>
      <c r="I40" s="47" t="s">
        <v>345</v>
      </c>
      <c r="J40" s="483" t="s">
        <v>280</v>
      </c>
      <c r="K40" s="484"/>
      <c r="L40" s="484"/>
      <c r="M40" s="484"/>
      <c r="N40" s="484"/>
      <c r="O40" s="484"/>
      <c r="P40" s="484"/>
      <c r="Q40" s="484"/>
      <c r="R40" s="484"/>
    </row>
    <row r="41" spans="1:18" ht="15.75" thickBot="1" x14ac:dyDescent="0.25">
      <c r="C41" s="6"/>
      <c r="G41" s="478" t="s">
        <v>64</v>
      </c>
      <c r="H41" s="479"/>
      <c r="I41" s="32">
        <f>IF(OR(AND($I$36="yes",$I$37="yes",$I$38&gt;0),AND($I$39="yes",$I$40="yes")),0.1,0)</f>
        <v>0</v>
      </c>
    </row>
    <row r="42" spans="1:18" ht="13.5" thickBot="1" x14ac:dyDescent="0.25"/>
    <row r="43" spans="1:18" ht="15.75" customHeight="1" thickBot="1" x14ac:dyDescent="0.3">
      <c r="D43" s="490" t="s">
        <v>215</v>
      </c>
      <c r="E43" s="490"/>
      <c r="F43" s="490"/>
      <c r="G43" s="490"/>
      <c r="H43" s="491"/>
      <c r="I43" s="28" t="str">
        <f>IF($I$20="","", IF(($I$32-$I$41)&lt;0.2,0.2,($I$32-$I$41)))</f>
        <v/>
      </c>
    </row>
  </sheetData>
  <sheetProtection algorithmName="SHA-512" hashValue="qynD0WE6zgghWyDjG42PBODnyAGvpgyE+foNkPxjPf1kkJvxMpFXTXXfeaMDYmIJTRPw1H33dyPfg5rTB9Xu6w==" saltValue="AHUmkabiS3uHPbTAyXHQXg==" spinCount="100000" sheet="1" formatCells="0"/>
  <mergeCells count="43">
    <mergeCell ref="J25:O25"/>
    <mergeCell ref="F26:H26"/>
    <mergeCell ref="J21:M21"/>
    <mergeCell ref="B23:G23"/>
    <mergeCell ref="J12:M12"/>
    <mergeCell ref="C12:F12"/>
    <mergeCell ref="D11:F11"/>
    <mergeCell ref="J18:M18"/>
    <mergeCell ref="C20:H20"/>
    <mergeCell ref="B14:H14"/>
    <mergeCell ref="D15:H15"/>
    <mergeCell ref="D16:H16"/>
    <mergeCell ref="J15:N15"/>
    <mergeCell ref="J16:N16"/>
    <mergeCell ref="B18:G18"/>
    <mergeCell ref="J11:L11"/>
    <mergeCell ref="J14:N14"/>
    <mergeCell ref="J20:N20"/>
    <mergeCell ref="A1:I1"/>
    <mergeCell ref="J2:K2"/>
    <mergeCell ref="J3:K3"/>
    <mergeCell ref="B9:G9"/>
    <mergeCell ref="A3:C3"/>
    <mergeCell ref="A6:C6"/>
    <mergeCell ref="E6:F6"/>
    <mergeCell ref="A2:D2"/>
    <mergeCell ref="J6:P6"/>
    <mergeCell ref="J40:R40"/>
    <mergeCell ref="D43:H43"/>
    <mergeCell ref="G41:H41"/>
    <mergeCell ref="B25:H25"/>
    <mergeCell ref="B29:H29"/>
    <mergeCell ref="D32:H32"/>
    <mergeCell ref="G28:H28"/>
    <mergeCell ref="G30:H30"/>
    <mergeCell ref="C27:H27"/>
    <mergeCell ref="B40:H40"/>
    <mergeCell ref="J37:P37"/>
    <mergeCell ref="B34:I34"/>
    <mergeCell ref="D36:H36"/>
    <mergeCell ref="B37:H37"/>
    <mergeCell ref="D39:H39"/>
    <mergeCell ref="E38:H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4"/>
  <sheetViews>
    <sheetView zoomScaleNormal="100" workbookViewId="0">
      <selection activeCell="I16" sqref="I16"/>
    </sheetView>
  </sheetViews>
  <sheetFormatPr defaultRowHeight="12.75" x14ac:dyDescent="0.2"/>
  <cols>
    <col min="1" max="1" width="7.85546875" style="3" customWidth="1"/>
    <col min="2" max="2" width="8.7109375" style="3" customWidth="1"/>
    <col min="3" max="3" width="12.7109375" style="3" bestFit="1" customWidth="1"/>
    <col min="4" max="4" width="10.140625" style="3" customWidth="1"/>
    <col min="5" max="5" width="8.140625" style="3" customWidth="1"/>
    <col min="6" max="6" width="7.7109375" style="3" customWidth="1"/>
    <col min="7" max="8" width="12.7109375" style="3" bestFit="1" customWidth="1"/>
    <col min="9" max="9" width="12.140625" style="3" customWidth="1"/>
    <col min="10" max="10" width="12.42578125" style="3" customWidth="1"/>
    <col min="11" max="16384" width="9.140625" style="3"/>
  </cols>
  <sheetData>
    <row r="1" spans="1:21" ht="30" customHeight="1" thickBot="1" x14ac:dyDescent="0.25">
      <c r="A1" s="524" t="s">
        <v>69</v>
      </c>
      <c r="B1" s="525"/>
      <c r="C1" s="525"/>
      <c r="D1" s="525"/>
      <c r="E1" s="525"/>
      <c r="F1" s="525"/>
      <c r="G1" s="525"/>
      <c r="H1" s="525"/>
      <c r="I1" s="525"/>
      <c r="J1" s="525"/>
    </row>
    <row r="2" spans="1:21" ht="19.5" thickBot="1" x14ac:dyDescent="0.25">
      <c r="A2" s="472" t="str">
        <f>IF('Project Information'!C3="","Project Name",'Project Information'!C3)</f>
        <v>Project Name</v>
      </c>
      <c r="B2" s="473"/>
      <c r="C2" s="473"/>
      <c r="D2" s="474"/>
      <c r="E2" s="50"/>
      <c r="F2" s="50"/>
      <c r="G2" s="50"/>
      <c r="H2" s="35"/>
      <c r="I2" s="35"/>
      <c r="J2" s="35"/>
      <c r="K2" s="419" t="s">
        <v>15</v>
      </c>
      <c r="L2" s="420"/>
    </row>
    <row r="3" spans="1:21" ht="19.5" thickBot="1" x14ac:dyDescent="0.25">
      <c r="A3" s="480" t="str">
        <f>IF('Project Information'!C4="","Project Number",'Project Information'!C4)</f>
        <v>Project Number</v>
      </c>
      <c r="B3" s="480"/>
      <c r="C3" s="480"/>
      <c r="D3" s="50"/>
      <c r="E3" s="526" t="s">
        <v>27</v>
      </c>
      <c r="F3" s="526"/>
      <c r="G3" s="166"/>
      <c r="H3" s="35"/>
      <c r="I3" s="35"/>
      <c r="J3" s="35"/>
      <c r="K3" s="422" t="s">
        <v>16</v>
      </c>
      <c r="L3" s="423"/>
    </row>
    <row r="4" spans="1:21" ht="70.5" customHeight="1" thickBot="1" x14ac:dyDescent="0.25">
      <c r="A4" s="75" t="s">
        <v>140</v>
      </c>
      <c r="B4" s="75"/>
      <c r="C4" s="75"/>
      <c r="D4" s="75"/>
      <c r="E4" s="75"/>
      <c r="F4" s="75"/>
      <c r="G4" s="75"/>
      <c r="H4" s="75"/>
      <c r="I4" s="75"/>
      <c r="J4" s="75"/>
      <c r="K4" s="22"/>
    </row>
    <row r="5" spans="1:21" ht="13.5" thickBot="1" x14ac:dyDescent="0.25">
      <c r="A5" s="38"/>
      <c r="B5" s="38"/>
      <c r="C5" s="38"/>
      <c r="D5" s="468" t="s">
        <v>191</v>
      </c>
      <c r="E5" s="468"/>
      <c r="F5" s="468"/>
      <c r="G5" s="468"/>
      <c r="H5" s="469"/>
      <c r="I5" s="26" t="s">
        <v>346</v>
      </c>
    </row>
    <row r="6" spans="1:21" ht="13.5" thickBot="1" x14ac:dyDescent="0.25">
      <c r="A6" s="38"/>
      <c r="B6" s="38"/>
      <c r="C6" s="38"/>
      <c r="D6" s="468" t="s">
        <v>194</v>
      </c>
      <c r="E6" s="468"/>
      <c r="F6" s="468"/>
      <c r="G6" s="468"/>
      <c r="H6" s="469"/>
      <c r="I6" s="26" t="s">
        <v>346</v>
      </c>
    </row>
    <row r="7" spans="1:21" ht="13.5" thickBot="1" x14ac:dyDescent="0.25">
      <c r="A7" s="38"/>
      <c r="B7" s="38"/>
      <c r="C7" s="468" t="s">
        <v>192</v>
      </c>
      <c r="D7" s="468"/>
      <c r="E7" s="468"/>
      <c r="F7" s="468"/>
      <c r="G7" s="468"/>
      <c r="H7" s="469"/>
      <c r="I7" s="26" t="s">
        <v>346</v>
      </c>
      <c r="J7" s="37"/>
      <c r="K7" s="484" t="s">
        <v>82</v>
      </c>
      <c r="L7" s="484"/>
      <c r="M7" s="484"/>
      <c r="N7" s="484"/>
      <c r="O7" s="484"/>
      <c r="P7" s="484"/>
      <c r="Q7" s="484"/>
      <c r="R7" s="484"/>
      <c r="S7" s="484"/>
      <c r="T7" s="484"/>
    </row>
    <row r="8" spans="1:21" ht="13.5" thickBot="1" x14ac:dyDescent="0.25">
      <c r="A8" s="38"/>
      <c r="B8" s="38"/>
      <c r="C8" s="468" t="s">
        <v>193</v>
      </c>
      <c r="D8" s="468"/>
      <c r="E8" s="468"/>
      <c r="F8" s="468"/>
      <c r="G8" s="468"/>
      <c r="H8" s="469"/>
      <c r="I8" s="26" t="s">
        <v>346</v>
      </c>
      <c r="J8" s="22"/>
    </row>
    <row r="9" spans="1:21" ht="13.5" thickBot="1" x14ac:dyDescent="0.25">
      <c r="A9" s="6"/>
      <c r="B9" s="38"/>
      <c r="C9" s="38"/>
      <c r="D9" s="468" t="s">
        <v>199</v>
      </c>
      <c r="E9" s="468"/>
      <c r="F9" s="468"/>
      <c r="G9" s="468"/>
      <c r="H9" s="469"/>
      <c r="I9" s="26" t="s">
        <v>345</v>
      </c>
      <c r="J9" s="37"/>
      <c r="K9" s="484" t="s">
        <v>81</v>
      </c>
      <c r="L9" s="484"/>
      <c r="M9" s="484"/>
      <c r="N9" s="484"/>
      <c r="O9" s="484"/>
      <c r="P9" s="484"/>
      <c r="Q9" s="484"/>
      <c r="R9" s="484"/>
      <c r="S9" s="484"/>
      <c r="T9" s="484"/>
    </row>
    <row r="10" spans="1:21" ht="13.5" thickBot="1" x14ac:dyDescent="0.25">
      <c r="A10" s="38"/>
      <c r="B10" s="38"/>
      <c r="C10" s="38"/>
      <c r="D10" s="468" t="s">
        <v>148</v>
      </c>
      <c r="E10" s="468"/>
      <c r="F10" s="468"/>
      <c r="G10" s="468"/>
      <c r="H10" s="469"/>
      <c r="I10" s="26" t="s">
        <v>346</v>
      </c>
      <c r="J10" s="22"/>
    </row>
    <row r="11" spans="1:21" ht="13.5" thickBot="1" x14ac:dyDescent="0.25">
      <c r="A11" s="38"/>
      <c r="B11" s="38"/>
      <c r="C11" s="468" t="s">
        <v>126</v>
      </c>
      <c r="D11" s="468"/>
      <c r="E11" s="468"/>
      <c r="F11" s="468"/>
      <c r="G11" s="468"/>
      <c r="H11" s="469"/>
      <c r="I11" s="26" t="s">
        <v>346</v>
      </c>
      <c r="J11" s="37"/>
      <c r="K11" s="484" t="s">
        <v>66</v>
      </c>
      <c r="L11" s="484"/>
      <c r="M11" s="484"/>
      <c r="N11" s="484"/>
      <c r="O11" s="484"/>
      <c r="P11" s="484"/>
      <c r="Q11" s="484"/>
      <c r="R11" s="98"/>
      <c r="S11" s="98"/>
      <c r="T11" s="98"/>
      <c r="U11" s="98"/>
    </row>
    <row r="12" spans="1:21" ht="13.5" thickBot="1" x14ac:dyDescent="0.25">
      <c r="A12" s="38"/>
      <c r="B12" s="38"/>
      <c r="C12" s="38"/>
      <c r="D12" s="468" t="s">
        <v>195</v>
      </c>
      <c r="E12" s="468"/>
      <c r="F12" s="468"/>
      <c r="G12" s="468"/>
      <c r="H12" s="469"/>
      <c r="I12" s="26" t="s">
        <v>346</v>
      </c>
      <c r="K12" s="430" t="s">
        <v>281</v>
      </c>
      <c r="L12" s="430"/>
      <c r="M12" s="430"/>
      <c r="N12" s="430"/>
      <c r="O12" s="430"/>
      <c r="P12" s="358"/>
      <c r="Q12" s="358"/>
      <c r="R12" s="358"/>
      <c r="S12" s="358"/>
      <c r="T12" s="358"/>
      <c r="U12" s="358"/>
    </row>
    <row r="13" spans="1:21" ht="13.5" thickBot="1" x14ac:dyDescent="0.25">
      <c r="A13" s="38"/>
      <c r="B13" s="468" t="s">
        <v>196</v>
      </c>
      <c r="C13" s="469"/>
      <c r="D13" s="30"/>
      <c r="E13" s="167"/>
      <c r="F13" s="482" t="s">
        <v>198</v>
      </c>
      <c r="G13" s="482"/>
      <c r="H13" s="469"/>
      <c r="I13" s="47" t="s">
        <v>346</v>
      </c>
      <c r="K13" s="38"/>
      <c r="L13" s="38"/>
      <c r="M13" s="38"/>
      <c r="N13" s="38"/>
      <c r="O13" s="38"/>
      <c r="P13" s="38"/>
      <c r="Q13" s="38"/>
      <c r="R13" s="38"/>
      <c r="S13" s="38"/>
      <c r="T13" s="38"/>
      <c r="U13" s="38"/>
    </row>
    <row r="14" spans="1:21" ht="13.5" thickBot="1" x14ac:dyDescent="0.25">
      <c r="A14" s="15"/>
      <c r="B14" s="468" t="s">
        <v>125</v>
      </c>
      <c r="C14" s="469"/>
      <c r="D14" s="30"/>
      <c r="E14" s="167"/>
      <c r="F14" s="482" t="s">
        <v>200</v>
      </c>
      <c r="G14" s="482"/>
      <c r="H14" s="469"/>
      <c r="I14" s="47" t="s">
        <v>346</v>
      </c>
      <c r="K14" s="430" t="s">
        <v>202</v>
      </c>
      <c r="L14" s="430"/>
      <c r="M14" s="430"/>
      <c r="N14" s="98"/>
      <c r="O14" s="98"/>
      <c r="P14" s="98"/>
      <c r="Q14" s="98"/>
      <c r="R14" s="98"/>
      <c r="S14" s="98"/>
      <c r="T14" s="98"/>
      <c r="U14" s="98"/>
    </row>
    <row r="15" spans="1:21" ht="13.5" thickBot="1" x14ac:dyDescent="0.25">
      <c r="A15" s="468" t="s">
        <v>197</v>
      </c>
      <c r="B15" s="468"/>
      <c r="C15" s="469"/>
      <c r="D15" s="30"/>
      <c r="E15" s="497" t="s">
        <v>201</v>
      </c>
      <c r="F15" s="482"/>
      <c r="G15" s="482"/>
      <c r="H15" s="469"/>
      <c r="I15" s="47" t="s">
        <v>346</v>
      </c>
      <c r="K15" s="98"/>
      <c r="L15" s="98"/>
      <c r="M15" s="98"/>
      <c r="N15" s="98"/>
      <c r="O15" s="98"/>
      <c r="P15" s="98"/>
      <c r="Q15" s="98"/>
      <c r="R15" s="98"/>
      <c r="S15" s="98"/>
      <c r="T15" s="98"/>
      <c r="U15" s="98"/>
    </row>
    <row r="16" spans="1:21" ht="13.5" thickBot="1" x14ac:dyDescent="0.25">
      <c r="A16" s="6"/>
      <c r="B16" s="468" t="s">
        <v>178</v>
      </c>
      <c r="C16" s="468"/>
      <c r="D16" s="468"/>
      <c r="E16" s="468"/>
      <c r="F16" s="468"/>
      <c r="G16" s="468"/>
      <c r="H16" s="469"/>
      <c r="I16" s="26" t="s">
        <v>345</v>
      </c>
      <c r="J16" s="52"/>
      <c r="K16" s="430" t="s">
        <v>124</v>
      </c>
      <c r="L16" s="430"/>
      <c r="M16" s="430"/>
      <c r="N16" s="430"/>
      <c r="O16" s="430"/>
      <c r="P16" s="98"/>
      <c r="Q16" s="98"/>
      <c r="R16" s="98"/>
      <c r="S16" s="98"/>
      <c r="T16" s="98"/>
      <c r="U16" s="98"/>
    </row>
    <row r="17" spans="1:21" ht="15.75" thickBot="1" x14ac:dyDescent="0.3">
      <c r="A17" s="6"/>
      <c r="C17" s="53"/>
      <c r="D17" s="53"/>
      <c r="E17" s="54"/>
      <c r="F17" s="54"/>
      <c r="G17" s="508" t="s">
        <v>103</v>
      </c>
      <c r="H17" s="509"/>
      <c r="I17" s="123" t="str">
        <f>IF($I$16="yes",'Interest Rate'!$I$20,0)</f>
        <v/>
      </c>
      <c r="J17" s="37"/>
      <c r="K17" s="484" t="s">
        <v>203</v>
      </c>
      <c r="L17" s="484"/>
      <c r="M17" s="484"/>
      <c r="N17" s="484"/>
      <c r="O17" s="484"/>
      <c r="P17" s="98"/>
      <c r="Q17" s="98"/>
      <c r="R17" s="98"/>
      <c r="S17" s="98"/>
      <c r="T17" s="98"/>
      <c r="U17" s="98"/>
    </row>
    <row r="18" spans="1:21" ht="15" customHeight="1" thickBot="1" x14ac:dyDescent="0.3">
      <c r="A18" s="510" t="s">
        <v>70</v>
      </c>
      <c r="B18" s="510"/>
      <c r="C18" s="53"/>
      <c r="D18" s="53"/>
      <c r="E18" s="55"/>
      <c r="F18" s="55"/>
      <c r="G18" s="55"/>
      <c r="H18" s="186" t="s">
        <v>104</v>
      </c>
      <c r="I18" s="123">
        <f>IF($I$16="yes",'Priority Score &amp; PF%'!$I$23,0)</f>
        <v>0</v>
      </c>
      <c r="J18" s="37"/>
      <c r="K18" s="484" t="s">
        <v>290</v>
      </c>
      <c r="L18" s="484"/>
      <c r="M18" s="484"/>
      <c r="N18" s="484"/>
      <c r="O18" s="484"/>
      <c r="P18" s="484"/>
      <c r="Q18" s="484"/>
      <c r="R18" s="98"/>
      <c r="S18" s="98"/>
      <c r="T18" s="98"/>
      <c r="U18" s="98"/>
    </row>
    <row r="19" spans="1:21" ht="15" customHeight="1" x14ac:dyDescent="0.2">
      <c r="A19" s="503" t="s">
        <v>76</v>
      </c>
      <c r="B19" s="504"/>
      <c r="C19" s="507"/>
      <c r="D19" s="503" t="s">
        <v>74</v>
      </c>
      <c r="E19" s="504"/>
      <c r="F19" s="504"/>
      <c r="G19" s="507"/>
    </row>
    <row r="20" spans="1:21" x14ac:dyDescent="0.2">
      <c r="A20" s="188" t="s">
        <v>70</v>
      </c>
      <c r="B20" s="187"/>
      <c r="C20" s="34"/>
      <c r="D20" s="190" t="s">
        <v>70</v>
      </c>
      <c r="E20" s="193"/>
      <c r="F20" s="194"/>
      <c r="G20" s="65">
        <f>IF(AND(OR($I$5="yes",$I$7="yes"),$I$6&lt;="no",$I$8&lt;="no",$I$10="yes",$I$11="no",$I$16="yes"),ROUND('Priority Score &amp; PF%'!$I$22*$C$20/100,0),0)</f>
        <v>0</v>
      </c>
      <c r="J20" s="6"/>
    </row>
    <row r="21" spans="1:21" x14ac:dyDescent="0.2">
      <c r="A21" s="56" t="s">
        <v>3</v>
      </c>
      <c r="B21" s="189"/>
      <c r="C21" s="23"/>
      <c r="D21" s="190" t="s">
        <v>3</v>
      </c>
      <c r="E21" s="193"/>
      <c r="F21" s="194"/>
      <c r="G21" s="65">
        <f>IF(AND(OR($I$5="yes",$I$7="yes"),$I$6&lt;="no",$I$8&lt;="no",$I$10="yes",$I$11="no",$I$16="yes"),ROUND('Priority Score &amp; PF%'!$I$22*$C$21/100,0),0)</f>
        <v>0</v>
      </c>
      <c r="I21" s="60"/>
    </row>
    <row r="22" spans="1:21" x14ac:dyDescent="0.2">
      <c r="A22" s="190" t="s">
        <v>73</v>
      </c>
      <c r="B22" s="189"/>
      <c r="C22" s="23"/>
      <c r="D22" s="190" t="s">
        <v>73</v>
      </c>
      <c r="E22" s="193"/>
      <c r="F22" s="194"/>
      <c r="G22" s="65">
        <f>IF(AND(OR($I$5="yes",$I$7="yes"),$I$6&lt;="no",$I$8&lt;="no",$I$10="yes",$I$11="no",$I$16="yes"),ROUND('Priority Score &amp; PF%'!$I$22*$C$22/100,0),0)</f>
        <v>0</v>
      </c>
    </row>
    <row r="23" spans="1:21" ht="13.5" thickBot="1" x14ac:dyDescent="0.25">
      <c r="A23" s="191" t="s">
        <v>89</v>
      </c>
      <c r="B23" s="192"/>
      <c r="C23" s="23"/>
      <c r="D23" s="190" t="s">
        <v>208</v>
      </c>
      <c r="E23" s="193"/>
      <c r="F23" s="194"/>
      <c r="G23" s="65">
        <f>IF(AND(OR($I$5="yes",$I$7="yes"),$I$6&lt;="no",$I$8&lt;="no",$I$10="yes",$I$11="no",$I$16="yes"),ROUND('Priority Score &amp; PF%'!$I$22*$C$23/100,0),0)</f>
        <v>0</v>
      </c>
      <c r="K23" s="430" t="s">
        <v>282</v>
      </c>
      <c r="L23" s="430"/>
      <c r="M23" s="430"/>
      <c r="N23" s="430"/>
      <c r="O23" s="430"/>
      <c r="P23" s="430"/>
      <c r="Q23" s="430"/>
      <c r="R23" s="358"/>
      <c r="S23" s="358"/>
      <c r="T23" s="358"/>
      <c r="U23" s="38"/>
    </row>
    <row r="24" spans="1:21" ht="15" x14ac:dyDescent="0.25">
      <c r="A24" s="190" t="s">
        <v>2</v>
      </c>
      <c r="B24" s="189"/>
      <c r="C24" s="97">
        <f>IF(AND(OR($I$5="yes",$I$7="yes"),$I$6&lt;="no",$I$8&lt;="no",$I$16="yes",$I$13="yes"),(0.1*SUM($C$20:$C$22)),0)</f>
        <v>0</v>
      </c>
      <c r="D24" s="190" t="s">
        <v>2</v>
      </c>
      <c r="E24" s="193"/>
      <c r="F24" s="194"/>
      <c r="G24" s="65">
        <f>IF(AND(OR(I5="yes",I7="yes"),I10="yes",I11="no",I16="yes"),ROUND('Priority Score &amp; PF%'!I22*C24/100,0),0)</f>
        <v>0</v>
      </c>
      <c r="H24" s="518" t="s">
        <v>108</v>
      </c>
      <c r="I24" s="519"/>
      <c r="J24" s="520"/>
    </row>
    <row r="25" spans="1:21" ht="13.5" thickBot="1" x14ac:dyDescent="0.25">
      <c r="A25" s="190" t="s">
        <v>77</v>
      </c>
      <c r="B25" s="189"/>
      <c r="C25" s="65">
        <f>IF(AND(OR($I$5="yes",$I$7="yes"),$I$6&lt;="no",$I$8&lt;="no",$I$12="yes",$D$13&gt;0),$D$13,0)</f>
        <v>0</v>
      </c>
      <c r="D25" s="190" t="s">
        <v>77</v>
      </c>
      <c r="E25" s="193"/>
      <c r="F25" s="194"/>
      <c r="G25" s="67"/>
      <c r="H25" s="195" t="s">
        <v>5</v>
      </c>
      <c r="I25" s="196" t="s">
        <v>8</v>
      </c>
      <c r="J25" s="197" t="s">
        <v>6</v>
      </c>
    </row>
    <row r="26" spans="1:21" ht="13.5" thickBot="1" x14ac:dyDescent="0.25">
      <c r="A26" s="454" t="s">
        <v>50</v>
      </c>
      <c r="B26" s="517"/>
      <c r="C26" s="66">
        <f>IF(AND(OR($I$5="yes",$I$7="yes"),$I$6&lt;="no",$I$8&lt;="no",$I$16="yes"),SUM($C$20:$C$25),0)</f>
        <v>0</v>
      </c>
      <c r="D26" s="501" t="s">
        <v>50</v>
      </c>
      <c r="E26" s="502"/>
      <c r="F26" s="502"/>
      <c r="G26" s="68">
        <f>SUM($G$20:$G$25)</f>
        <v>0</v>
      </c>
      <c r="H26" s="69">
        <f>IF(AND($G$26=$G$27,$C$26&gt;0),($C$26-$G$26-$C$27),IF($G$26&gt;$G$27,($C$26-$G$27-$C$27),0))</f>
        <v>0</v>
      </c>
      <c r="I26" s="69">
        <f>IF($G$26&gt;=$G$27,$G$27,IF($G$27&gt;$G$26,0,$G$26))</f>
        <v>0</v>
      </c>
      <c r="J26" s="69">
        <f>IF(OR($H$26&gt;0,$I$26&gt;0),$C$26,0)</f>
        <v>0</v>
      </c>
      <c r="K26" s="483" t="s">
        <v>157</v>
      </c>
      <c r="L26" s="430"/>
      <c r="M26" s="430"/>
      <c r="N26" s="430"/>
    </row>
    <row r="27" spans="1:21" ht="13.5" thickBot="1" x14ac:dyDescent="0.25">
      <c r="A27" s="506" t="s">
        <v>121</v>
      </c>
      <c r="B27" s="506"/>
      <c r="C27" s="61"/>
      <c r="D27" s="62"/>
      <c r="E27" s="521" t="s">
        <v>122</v>
      </c>
      <c r="F27" s="522"/>
      <c r="G27" s="61"/>
      <c r="I27" s="198" t="s">
        <v>182</v>
      </c>
      <c r="J27" s="69">
        <f>IF($J$26&lt;=0,0,($H$26+$I$26)*0.02)</f>
        <v>0</v>
      </c>
      <c r="K27" s="430" t="s">
        <v>179</v>
      </c>
      <c r="L27" s="430"/>
      <c r="M27" s="430"/>
      <c r="N27" s="430"/>
      <c r="O27" s="430"/>
    </row>
    <row r="28" spans="1:21" x14ac:dyDescent="0.2">
      <c r="K28" s="336" t="s">
        <v>273</v>
      </c>
      <c r="L28" s="336"/>
      <c r="M28" s="336"/>
      <c r="N28" s="296"/>
      <c r="O28" s="296"/>
    </row>
    <row r="29" spans="1:21" ht="15" customHeight="1" x14ac:dyDescent="0.2">
      <c r="A29" s="511" t="s">
        <v>71</v>
      </c>
      <c r="B29" s="512"/>
      <c r="I29" s="45"/>
    </row>
    <row r="30" spans="1:21" ht="15" customHeight="1" thickBot="1" x14ac:dyDescent="0.25">
      <c r="A30" s="503" t="s">
        <v>76</v>
      </c>
      <c r="B30" s="504"/>
      <c r="C30" s="505"/>
      <c r="D30" s="503" t="s">
        <v>74</v>
      </c>
      <c r="E30" s="504"/>
      <c r="F30" s="504"/>
      <c r="G30" s="505"/>
    </row>
    <row r="31" spans="1:21" ht="13.5" thickBot="1" x14ac:dyDescent="0.25">
      <c r="A31" s="190" t="s">
        <v>75</v>
      </c>
      <c r="B31" s="199"/>
      <c r="C31" s="70">
        <f>IF(AND($I$7="yes",$I$8&lt;="no",$I$16="yes"),$J$26,0)</f>
        <v>0</v>
      </c>
      <c r="D31" s="200" t="s">
        <v>75</v>
      </c>
      <c r="E31" s="193"/>
      <c r="F31" s="193"/>
      <c r="G31" s="70">
        <f>IF(AND($I$7="yes",$I$8&lt;="no",$I$11="no",$I$16="yes"),$I$26,0)</f>
        <v>0</v>
      </c>
      <c r="J31" s="38"/>
      <c r="K31" s="500" t="s">
        <v>98</v>
      </c>
      <c r="L31" s="500"/>
      <c r="M31" s="500"/>
      <c r="N31" s="500"/>
      <c r="O31" s="500"/>
      <c r="P31" s="500"/>
      <c r="Q31" s="500"/>
      <c r="R31" s="500"/>
    </row>
    <row r="32" spans="1:21" x14ac:dyDescent="0.2">
      <c r="A32" s="190" t="s">
        <v>71</v>
      </c>
      <c r="B32" s="189"/>
      <c r="C32" s="34"/>
      <c r="D32" s="190" t="s">
        <v>71</v>
      </c>
      <c r="E32" s="193"/>
      <c r="F32" s="194"/>
      <c r="G32" s="73">
        <f>IF(AND(OR($I$6="yes",$I$7="yes"),$I$10="yes",$I$5&lt;="no",$I$8&lt;="no",$I$11="no",$I$16="yes"),ROUND('Priority Score &amp; PF%'!$I$23*$C$32/100,0),0)</f>
        <v>0</v>
      </c>
    </row>
    <row r="33" spans="1:18" x14ac:dyDescent="0.2">
      <c r="A33" s="190" t="s">
        <v>3</v>
      </c>
      <c r="B33" s="189"/>
      <c r="C33" s="23"/>
      <c r="D33" s="190" t="s">
        <v>3</v>
      </c>
      <c r="E33" s="193"/>
      <c r="F33" s="194"/>
      <c r="G33" s="65">
        <f>IF(AND(OR($I$6="yes",$I$7="yes"),$I$5&lt;="no",$I$8&lt;="no",$I$10="yes",$I$11="no",$I$16="yes"),ROUND('Priority Score &amp; PF%'!$I$23*$C$33/100,0),0)</f>
        <v>0</v>
      </c>
    </row>
    <row r="34" spans="1:18" x14ac:dyDescent="0.2">
      <c r="A34" s="190" t="s">
        <v>73</v>
      </c>
      <c r="B34" s="189"/>
      <c r="C34" s="23"/>
      <c r="D34" s="190" t="s">
        <v>73</v>
      </c>
      <c r="E34" s="193"/>
      <c r="F34" s="194"/>
      <c r="G34" s="65">
        <f>IF(AND(OR($I$6="yes",$I$7="yes"),$I$5&lt;="no",$I$8&lt;="no",$I$10="yes",$I$11="no",$I$16="yes"),ROUND('Priority Score &amp; PF%'!$I$23*$C$34/100,0),0)</f>
        <v>0</v>
      </c>
    </row>
    <row r="35" spans="1:18" ht="13.5" thickBot="1" x14ac:dyDescent="0.25">
      <c r="A35" s="190" t="s">
        <v>89</v>
      </c>
      <c r="B35" s="189"/>
      <c r="C35" s="23"/>
      <c r="D35" s="190" t="s">
        <v>89</v>
      </c>
      <c r="E35" s="193"/>
      <c r="F35" s="194"/>
      <c r="G35" s="65">
        <f>IF(AND(OR($I$6="yes",$I$7="yes"),$I$5&lt;="no",$I$8&lt;="no",$I$10="yes",$I$11="no",$I$16="yes"),ROUND('Priority Score &amp; PF%'!$I$23*$C$35/100,0),0)</f>
        <v>0</v>
      </c>
    </row>
    <row r="36" spans="1:18" ht="15" x14ac:dyDescent="0.25">
      <c r="A36" s="190" t="s">
        <v>2</v>
      </c>
      <c r="B36" s="189"/>
      <c r="C36" s="97">
        <f>IF(AND(OR($I$6="yes",$I$7="yes"),$I$5&lt;="no",$I$8&lt;="no",$I$16="yes",$I$14="yes"),(0.1*SUM($C$32:$C$34)),0)</f>
        <v>0</v>
      </c>
      <c r="D36" s="190" t="s">
        <v>2</v>
      </c>
      <c r="E36" s="193"/>
      <c r="F36" s="194"/>
      <c r="G36" s="65">
        <f>IF(AND(OR($I$6="yes",$I$7="yes"),$I$8&lt;="no",$I$10="yes",$I$11="no",$I$16="yes"),ROUND('Priority Score &amp; PF%'!$I$23*$C$36/100,0),0)</f>
        <v>0</v>
      </c>
      <c r="H36" s="518" t="s">
        <v>109</v>
      </c>
      <c r="I36" s="519"/>
      <c r="J36" s="520"/>
    </row>
    <row r="37" spans="1:18" ht="13.5" thickBot="1" x14ac:dyDescent="0.25">
      <c r="A37" s="190" t="s">
        <v>77</v>
      </c>
      <c r="B37" s="189"/>
      <c r="C37" s="65">
        <f>IF(AND(OR($I$6="yes",$I$7="yes"),$I$5&lt;="no",$I$8&lt;="no",$I$12="yes",$D$14&gt;0),$D$14,0)</f>
        <v>0</v>
      </c>
      <c r="D37" s="190" t="s">
        <v>77</v>
      </c>
      <c r="E37" s="193"/>
      <c r="F37" s="194"/>
      <c r="G37" s="67"/>
      <c r="H37" s="195" t="s">
        <v>5</v>
      </c>
      <c r="I37" s="196" t="s">
        <v>8</v>
      </c>
      <c r="J37" s="197" t="s">
        <v>6</v>
      </c>
    </row>
    <row r="38" spans="1:18" ht="13.5" thickBot="1" x14ac:dyDescent="0.25">
      <c r="A38" s="453" t="s">
        <v>119</v>
      </c>
      <c r="B38" s="453"/>
      <c r="C38" s="71">
        <f>IF(AND(OR($I$6="yes",$I$7="yes"),$I$5&lt;="no",$I$8&lt;="no",$I$16="yes"),SUM($C$32:$C$37),0)</f>
        <v>0</v>
      </c>
      <c r="D38" s="453" t="s">
        <v>119</v>
      </c>
      <c r="E38" s="453"/>
      <c r="F38" s="453"/>
      <c r="G38" s="68">
        <f>SUM($G$32:$G$37)</f>
        <v>0</v>
      </c>
      <c r="H38" s="69">
        <f>IF(AND($G$38=$G$40,$C$39&gt;0),($C$38-$G$38-$C$40),IF($G$38&gt;$G$40,($C$38-$G$40-$C$40),0))</f>
        <v>0</v>
      </c>
      <c r="I38" s="69">
        <f>IF(AND($G$38&gt;=$G$40,$G$38&gt;0),$G$40,IF(OR($G$38&lt;$G$40,$G$38&lt;=0),0,$G$40))</f>
        <v>0</v>
      </c>
      <c r="J38" s="69">
        <f>IF(OR($H$38&gt;0,$I$38&gt;0),$C$38,0)</f>
        <v>0</v>
      </c>
      <c r="K38" s="492" t="s">
        <v>284</v>
      </c>
      <c r="L38" s="493"/>
      <c r="M38" s="493"/>
      <c r="N38" s="493"/>
      <c r="O38" s="38"/>
    </row>
    <row r="39" spans="1:18" ht="15.75" thickBot="1" x14ac:dyDescent="0.3">
      <c r="A39" s="513" t="s">
        <v>120</v>
      </c>
      <c r="B39" s="513"/>
      <c r="C39" s="72">
        <f>IF(AND($C$32&gt;0,$I$5&lt;="no"),($C$38+$C$31),0)</f>
        <v>0</v>
      </c>
      <c r="D39" s="62"/>
      <c r="E39" s="513" t="s">
        <v>123</v>
      </c>
      <c r="F39" s="513"/>
      <c r="G39" s="66">
        <f xml:space="preserve"> IF(AND($C$32&gt;0,$I$5&lt;="no"),$G$31+$G$38,0)</f>
        <v>0</v>
      </c>
      <c r="H39" s="518" t="s">
        <v>204</v>
      </c>
      <c r="I39" s="519"/>
      <c r="J39" s="520"/>
      <c r="K39" s="12"/>
    </row>
    <row r="40" spans="1:18" ht="13.5" thickBot="1" x14ac:dyDescent="0.25">
      <c r="A40" s="513" t="s">
        <v>121</v>
      </c>
      <c r="B40" s="513"/>
      <c r="C40" s="61"/>
      <c r="E40" s="513" t="s">
        <v>122</v>
      </c>
      <c r="F40" s="513"/>
      <c r="G40" s="61"/>
      <c r="H40" s="195" t="s">
        <v>5</v>
      </c>
      <c r="I40" s="196" t="s">
        <v>8</v>
      </c>
      <c r="J40" s="197" t="s">
        <v>6</v>
      </c>
      <c r="K40" s="40"/>
    </row>
    <row r="41" spans="1:18" ht="13.5" thickBot="1" x14ac:dyDescent="0.25">
      <c r="E41" s="63"/>
      <c r="F41" s="63"/>
      <c r="G41" s="64"/>
      <c r="H41" s="69">
        <f>IF(AND($C$31&gt;0,$I$5&lt;="no"),$H$26+$H$38,0)</f>
        <v>0</v>
      </c>
      <c r="I41" s="69">
        <f>IF(AND($G$31&gt;0,$I$5&lt;="no"),$I$26+$I$38,0)</f>
        <v>0</v>
      </c>
      <c r="J41" s="69">
        <f>IF(OR($H$41&gt;0,$I$41&gt;0),$J$26+$J$38,0)</f>
        <v>0</v>
      </c>
      <c r="K41" s="492" t="s">
        <v>285</v>
      </c>
      <c r="L41" s="493"/>
      <c r="M41" s="493"/>
      <c r="N41" s="493"/>
      <c r="O41" s="493"/>
    </row>
    <row r="42" spans="1:18" ht="15" customHeight="1" thickBot="1" x14ac:dyDescent="0.25">
      <c r="A42" s="514" t="s">
        <v>72</v>
      </c>
      <c r="B42" s="515"/>
      <c r="C42" s="516"/>
      <c r="I42" s="198" t="s">
        <v>182</v>
      </c>
      <c r="J42" s="69">
        <f>IF(AND($J$38&gt;0,$J$41&lt;=0,$J$38&gt;$C$40),($H$38+$I$38)*0.02,IF(AND($J$41&gt;0,$J$41&gt;$C$40),($H$41+$I$41)*0.02,0))</f>
        <v>0</v>
      </c>
      <c r="K42" s="336" t="s">
        <v>273</v>
      </c>
      <c r="L42" s="336"/>
      <c r="M42" s="336"/>
      <c r="N42" s="296"/>
      <c r="O42" s="296"/>
      <c r="P42" s="220"/>
      <c r="Q42" s="220"/>
      <c r="R42" s="220"/>
    </row>
    <row r="43" spans="1:18" ht="15" customHeight="1" x14ac:dyDescent="0.2">
      <c r="A43" s="503" t="s">
        <v>76</v>
      </c>
      <c r="B43" s="504"/>
      <c r="C43" s="507"/>
      <c r="D43" s="503" t="s">
        <v>74</v>
      </c>
      <c r="E43" s="504"/>
      <c r="F43" s="504"/>
      <c r="G43" s="507"/>
    </row>
    <row r="44" spans="1:18" x14ac:dyDescent="0.2">
      <c r="A44" s="190" t="s">
        <v>70</v>
      </c>
      <c r="B44" s="189"/>
      <c r="C44" s="23"/>
      <c r="D44" s="190" t="s">
        <v>70</v>
      </c>
      <c r="E44" s="193"/>
      <c r="F44" s="194"/>
      <c r="G44" s="65">
        <f>IF(AND($I$5&lt;="no", $I$6&lt;="no",$I$7&lt;="no",$I$8="yes",$I$9="yes",$I$10="yes",$I$11="no",$I$16="yes"),ROUND('Priority Score &amp; PF%'!$I$23*$C$44/100,0),0)</f>
        <v>0</v>
      </c>
      <c r="K44" s="6"/>
      <c r="L44" s="6"/>
    </row>
    <row r="45" spans="1:18" x14ac:dyDescent="0.2">
      <c r="A45" s="190" t="s">
        <v>71</v>
      </c>
      <c r="B45" s="189"/>
      <c r="C45" s="23"/>
      <c r="D45" s="190" t="s">
        <v>71</v>
      </c>
      <c r="E45" s="193"/>
      <c r="F45" s="194"/>
      <c r="G45" s="65">
        <f>IF(AND($I$5&lt;="no", $I$6&lt;="no",$I$7&lt;="no",$I$8="yes",$I$9="yes",$I$10="yes",$I$11="no",$I$16="yes"),ROUND('Priority Score &amp; PF%'!$I$23*$C$45/100,0),0)</f>
        <v>0</v>
      </c>
    </row>
    <row r="46" spans="1:18" x14ac:dyDescent="0.2">
      <c r="A46" s="190" t="s">
        <v>3</v>
      </c>
      <c r="B46" s="189"/>
      <c r="C46" s="23"/>
      <c r="D46" s="190" t="s">
        <v>3</v>
      </c>
      <c r="E46" s="193"/>
      <c r="F46" s="194"/>
      <c r="G46" s="65">
        <f>IF(AND($I$5&lt;="no", $I$6&lt;="no",$I$7&lt;="no",$I$8="yes",$I$9="yes",$I$10="yes",$I$11="no",$I$16="yes"),ROUND('Priority Score &amp; PF%'!$I$23*$C$46/100,0),0)</f>
        <v>0</v>
      </c>
      <c r="K46" s="6"/>
    </row>
    <row r="47" spans="1:18" x14ac:dyDescent="0.2">
      <c r="A47" s="190" t="s">
        <v>73</v>
      </c>
      <c r="B47" s="189"/>
      <c r="C47" s="23"/>
      <c r="D47" s="190" t="s">
        <v>73</v>
      </c>
      <c r="E47" s="193"/>
      <c r="F47" s="194"/>
      <c r="G47" s="65">
        <f>IF(AND($I$5&lt;="no", $I$6&lt;="no",$I$7&lt;="no",$I$8="yes",$I$9="yes",$I$10="yes",$I$11="no",$I$16="yes"),ROUND('Priority Score &amp; PF%'!$I$23*$C$47/100,0),0)</f>
        <v>0</v>
      </c>
    </row>
    <row r="48" spans="1:18" ht="13.5" thickBot="1" x14ac:dyDescent="0.25">
      <c r="A48" s="190" t="s">
        <v>89</v>
      </c>
      <c r="B48" s="189"/>
      <c r="C48" s="23"/>
      <c r="D48" s="190" t="s">
        <v>89</v>
      </c>
      <c r="E48" s="193"/>
      <c r="F48" s="194"/>
      <c r="G48" s="65">
        <f>IF(AND($I$5&lt;="no", $I$6&lt;="no",$I$7&lt;="no",$I$8="yes",$I$9="yes",$I$10="yes",$I$11="no",$I$16="yes"),ROUND('Priority Score &amp; PF%'!$I$23*$C$48/100,0),0)</f>
        <v>0</v>
      </c>
    </row>
    <row r="49" spans="1:16" ht="15" x14ac:dyDescent="0.25">
      <c r="A49" s="190" t="s">
        <v>2</v>
      </c>
      <c r="B49" s="189"/>
      <c r="C49" s="97">
        <f>IF(AND($I$5&lt;="no", $I$6&lt;="no",$I$7&lt;="no",$I$8="yes",$I$9="yes",$I$16="yes",$I$15="yes"),(0.1*SUM($C$44:$C$47)),0)</f>
        <v>0</v>
      </c>
      <c r="D49" s="190" t="s">
        <v>2</v>
      </c>
      <c r="E49" s="193"/>
      <c r="F49" s="194"/>
      <c r="G49" s="65">
        <f>IF(AND($I$5&lt;="no", $I$6&lt;="no",$I$7&lt;="no",$I$8="yes",$I$9="yes",$I$10="yes",$I$11="no",$I$16="yes"),ROUND('Priority Score &amp; PF%'!$I$23*$C$49/100,0),0)</f>
        <v>0</v>
      </c>
      <c r="H49" s="518" t="s">
        <v>110</v>
      </c>
      <c r="I49" s="519"/>
      <c r="J49" s="520"/>
    </row>
    <row r="50" spans="1:16" ht="13.5" thickBot="1" x14ac:dyDescent="0.25">
      <c r="A50" s="190" t="s">
        <v>77</v>
      </c>
      <c r="B50" s="189"/>
      <c r="C50" s="65">
        <f>IF(AND($I$5&lt;="no",$I$6&lt;="no",$I$7&lt;="no",$I$8="yes",$I$9="yes",$I$12="yes",$D$15&gt;0),$D$15,0)</f>
        <v>0</v>
      </c>
      <c r="D50" s="190" t="s">
        <v>77</v>
      </c>
      <c r="E50" s="193"/>
      <c r="F50" s="194"/>
      <c r="G50" s="74"/>
      <c r="H50" s="195" t="s">
        <v>5</v>
      </c>
      <c r="I50" s="196" t="s">
        <v>8</v>
      </c>
      <c r="J50" s="197" t="s">
        <v>6</v>
      </c>
    </row>
    <row r="51" spans="1:16" ht="13.5" thickBot="1" x14ac:dyDescent="0.25">
      <c r="A51" s="454" t="s">
        <v>79</v>
      </c>
      <c r="B51" s="517"/>
      <c r="C51" s="66">
        <f>IF(AND($I$5&lt;="no", $I$6&lt;="no",$I$7&lt;="no",$I$8="yes",$I$9="yes",$I$16="yes"),SUM($C$44:$C$50),0)</f>
        <v>0</v>
      </c>
      <c r="D51" s="501" t="s">
        <v>80</v>
      </c>
      <c r="E51" s="502"/>
      <c r="F51" s="523"/>
      <c r="G51" s="66">
        <f>SUM($G$44:$G$50)</f>
        <v>0</v>
      </c>
      <c r="H51" s="69">
        <f>IF(AND($G$51=$G$52,$C$51&gt;0),($C$51-$G$51-$C$52),IF($G$51&gt;$G$52,($C$51-$G$52-$C$52),0))</f>
        <v>0</v>
      </c>
      <c r="I51" s="69">
        <f>IF($G$51&gt;=$G$52,$G$52,IF($G$51&lt;$G$52,0,$G$52))</f>
        <v>0</v>
      </c>
      <c r="J51" s="69">
        <f>IF(OR($H$51&gt;0,$I$51&gt;0),$C$51,0)</f>
        <v>0</v>
      </c>
      <c r="K51" s="492" t="s">
        <v>286</v>
      </c>
      <c r="L51" s="500"/>
      <c r="M51" s="500"/>
      <c r="N51" s="500"/>
      <c r="O51" s="500"/>
      <c r="P51" s="500"/>
    </row>
    <row r="52" spans="1:16" ht="13.5" thickBot="1" x14ac:dyDescent="0.25">
      <c r="A52" s="506" t="s">
        <v>121</v>
      </c>
      <c r="B52" s="506"/>
      <c r="C52" s="27"/>
      <c r="E52" s="521" t="s">
        <v>122</v>
      </c>
      <c r="F52" s="521"/>
      <c r="G52" s="27"/>
      <c r="I52" s="198" t="s">
        <v>182</v>
      </c>
      <c r="J52" s="69">
        <f>IF($J$51&lt;=0,0,($H$51+$I$51)*0.02)</f>
        <v>0</v>
      </c>
      <c r="K52" s="336" t="s">
        <v>273</v>
      </c>
      <c r="L52" s="336"/>
      <c r="M52" s="336"/>
      <c r="N52" s="296"/>
      <c r="O52" s="296"/>
    </row>
    <row r="54" spans="1:16" x14ac:dyDescent="0.2">
      <c r="H54" s="6"/>
    </row>
  </sheetData>
  <sheetProtection algorithmName="SHA-512" hashValue="SK98wgHQ/dRlshk/cNHP252rcHgtXIKZmmo7im4YbdXuDVk693FTZiR8eKa4qv/e0ZEoslqsJ0pscs0d0C8mJg==" saltValue="OGVJfQAyxA183DSRGjcfug==" spinCount="100000" sheet="1" formatCells="0"/>
  <mergeCells count="64">
    <mergeCell ref="A2:D2"/>
    <mergeCell ref="K14:M14"/>
    <mergeCell ref="A1:J1"/>
    <mergeCell ref="E3:F3"/>
    <mergeCell ref="K11:Q11"/>
    <mergeCell ref="C11:H11"/>
    <mergeCell ref="K2:L2"/>
    <mergeCell ref="K3:L3"/>
    <mergeCell ref="D5:H5"/>
    <mergeCell ref="D6:H6"/>
    <mergeCell ref="D9:H9"/>
    <mergeCell ref="A3:C3"/>
    <mergeCell ref="K12:O12"/>
    <mergeCell ref="K7:T7"/>
    <mergeCell ref="K9:T9"/>
    <mergeCell ref="D10:H10"/>
    <mergeCell ref="K17:O17"/>
    <mergeCell ref="A52:B52"/>
    <mergeCell ref="H24:J24"/>
    <mergeCell ref="H36:J36"/>
    <mergeCell ref="H49:J49"/>
    <mergeCell ref="E27:F27"/>
    <mergeCell ref="E39:F39"/>
    <mergeCell ref="E52:F52"/>
    <mergeCell ref="E40:F40"/>
    <mergeCell ref="A40:B40"/>
    <mergeCell ref="A43:C43"/>
    <mergeCell ref="D43:G43"/>
    <mergeCell ref="A38:B38"/>
    <mergeCell ref="A51:B51"/>
    <mergeCell ref="H39:J39"/>
    <mergeCell ref="D51:F51"/>
    <mergeCell ref="B14:C14"/>
    <mergeCell ref="A15:C15"/>
    <mergeCell ref="C7:H7"/>
    <mergeCell ref="C8:H8"/>
    <mergeCell ref="F13:H13"/>
    <mergeCell ref="F14:H14"/>
    <mergeCell ref="E15:H15"/>
    <mergeCell ref="D12:H12"/>
    <mergeCell ref="B13:C13"/>
    <mergeCell ref="A39:B39"/>
    <mergeCell ref="K38:N38"/>
    <mergeCell ref="K41:O41"/>
    <mergeCell ref="A42:C42"/>
    <mergeCell ref="A26:B26"/>
    <mergeCell ref="K31:R31"/>
    <mergeCell ref="D38:F38"/>
    <mergeCell ref="K51:P51"/>
    <mergeCell ref="K18:Q18"/>
    <mergeCell ref="B16:H16"/>
    <mergeCell ref="K27:O27"/>
    <mergeCell ref="D26:F26"/>
    <mergeCell ref="A30:C30"/>
    <mergeCell ref="D30:G30"/>
    <mergeCell ref="A27:B27"/>
    <mergeCell ref="A19:C19"/>
    <mergeCell ref="D19:G19"/>
    <mergeCell ref="K16:O16"/>
    <mergeCell ref="G17:H17"/>
    <mergeCell ref="A18:B18"/>
    <mergeCell ref="K23:Q23"/>
    <mergeCell ref="A29:B29"/>
    <mergeCell ref="K26:N26"/>
  </mergeCells>
  <pageMargins left="0.4" right="0" top="0.1" bottom="0.1" header="0.05" footer="0.05"/>
  <pageSetup scale="99"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tabSelected="1" workbookViewId="0">
      <selection activeCell="G12" sqref="G12"/>
    </sheetView>
  </sheetViews>
  <sheetFormatPr defaultRowHeight="12.75" x14ac:dyDescent="0.2"/>
  <cols>
    <col min="1" max="1" width="15" style="3" customWidth="1"/>
    <col min="2" max="2" width="13.140625" style="82" customWidth="1"/>
    <col min="3" max="3" width="12.7109375" style="3" bestFit="1" customWidth="1"/>
    <col min="4" max="4" width="11.42578125" style="3" customWidth="1"/>
    <col min="5" max="5" width="13.42578125" style="3" bestFit="1" customWidth="1"/>
    <col min="6" max="6" width="12.7109375" style="3" bestFit="1" customWidth="1"/>
    <col min="7" max="7" width="13.5703125" style="3" customWidth="1"/>
    <col min="8" max="16384" width="9.140625" style="3"/>
  </cols>
  <sheetData>
    <row r="1" spans="1:17" ht="30" customHeight="1" thickBot="1" x14ac:dyDescent="0.25">
      <c r="A1" s="534" t="s">
        <v>19</v>
      </c>
      <c r="B1" s="534"/>
      <c r="C1" s="534"/>
      <c r="D1" s="534"/>
      <c r="E1" s="534"/>
      <c r="F1" s="534"/>
      <c r="G1" s="534"/>
    </row>
    <row r="2" spans="1:17" ht="19.5" thickBot="1" x14ac:dyDescent="0.25">
      <c r="A2" s="472" t="str">
        <f>IF('Project Information'!C3="","Project Name",'Project Information'!C3)</f>
        <v>Project Name</v>
      </c>
      <c r="B2" s="473"/>
      <c r="C2" s="473"/>
      <c r="D2" s="474"/>
      <c r="E2" s="50"/>
      <c r="F2" s="50"/>
      <c r="G2" s="50"/>
      <c r="H2" s="419" t="s">
        <v>15</v>
      </c>
      <c r="I2" s="420"/>
    </row>
    <row r="3" spans="1:17" ht="19.5" thickBot="1" x14ac:dyDescent="0.25">
      <c r="A3" s="480" t="str">
        <f>IF('Project Information'!C4="","Project Number",'Project Information'!C4)</f>
        <v>Project Number</v>
      </c>
      <c r="B3" s="480"/>
      <c r="C3" s="480"/>
      <c r="D3" s="50"/>
      <c r="E3" s="201" t="s">
        <v>27</v>
      </c>
      <c r="F3" s="25"/>
      <c r="G3" s="76"/>
      <c r="H3" s="422" t="s">
        <v>16</v>
      </c>
      <c r="I3" s="423"/>
    </row>
    <row r="4" spans="1:17" ht="48" customHeight="1" x14ac:dyDescent="0.2">
      <c r="A4" s="51"/>
      <c r="B4" s="51"/>
      <c r="C4" s="51"/>
      <c r="D4" s="51"/>
      <c r="E4" s="51"/>
      <c r="F4" s="51"/>
      <c r="G4" s="51"/>
    </row>
    <row r="5" spans="1:17" ht="21.75" customHeight="1" thickBot="1" x14ac:dyDescent="0.25">
      <c r="A5" s="51"/>
      <c r="B5" s="51"/>
      <c r="C5" s="51"/>
      <c r="D5" s="51"/>
      <c r="E5" s="51"/>
      <c r="F5" s="51"/>
      <c r="G5" s="51"/>
    </row>
    <row r="6" spans="1:17" ht="15.75" customHeight="1" thickBot="1" x14ac:dyDescent="0.25">
      <c r="A6" s="51"/>
      <c r="B6" s="51"/>
      <c r="C6" s="542" t="s">
        <v>160</v>
      </c>
      <c r="D6" s="542"/>
      <c r="E6" s="542"/>
      <c r="F6" s="543"/>
      <c r="G6" s="124" t="s">
        <v>345</v>
      </c>
      <c r="H6" s="483" t="s">
        <v>161</v>
      </c>
      <c r="I6" s="484"/>
      <c r="J6" s="484"/>
      <c r="K6" s="484"/>
      <c r="L6" s="484"/>
      <c r="M6" s="484"/>
      <c r="N6" s="484"/>
      <c r="O6" s="484"/>
      <c r="P6" s="37"/>
      <c r="Q6" s="37"/>
    </row>
    <row r="7" spans="1:17" ht="15.75" customHeight="1" thickBot="1" x14ac:dyDescent="0.25">
      <c r="A7" s="77"/>
      <c r="B7" s="535" t="s">
        <v>129</v>
      </c>
      <c r="C7" s="535"/>
      <c r="D7" s="535"/>
      <c r="E7" s="535"/>
      <c r="F7" s="536"/>
      <c r="G7" s="125" t="s">
        <v>345</v>
      </c>
      <c r="H7" s="52"/>
      <c r="I7" s="38"/>
      <c r="J7" s="38"/>
      <c r="K7" s="38"/>
      <c r="L7" s="38"/>
      <c r="M7" s="38"/>
    </row>
    <row r="8" spans="1:17" ht="16.5" customHeight="1" thickBot="1" x14ac:dyDescent="0.25">
      <c r="A8" s="78"/>
      <c r="B8" s="78"/>
      <c r="C8" s="539" t="s">
        <v>148</v>
      </c>
      <c r="D8" s="540"/>
      <c r="E8" s="540"/>
      <c r="F8" s="541"/>
      <c r="G8" s="125" t="s">
        <v>346</v>
      </c>
      <c r="I8" s="79"/>
      <c r="J8" s="79"/>
    </row>
    <row r="9" spans="1:17" ht="16.5" customHeight="1" thickBot="1" x14ac:dyDescent="0.25">
      <c r="A9" s="38"/>
      <c r="B9" s="468" t="s">
        <v>126</v>
      </c>
      <c r="C9" s="468"/>
      <c r="D9" s="468"/>
      <c r="E9" s="468"/>
      <c r="F9" s="469"/>
      <c r="G9" s="125" t="s">
        <v>346</v>
      </c>
      <c r="H9" s="483" t="s">
        <v>66</v>
      </c>
      <c r="I9" s="430"/>
      <c r="J9" s="430"/>
      <c r="K9" s="430"/>
      <c r="L9" s="430"/>
      <c r="M9" s="430"/>
      <c r="N9" s="430"/>
    </row>
    <row r="10" spans="1:17" ht="16.5" customHeight="1" thickBot="1" x14ac:dyDescent="0.25">
      <c r="A10" s="38"/>
      <c r="B10" s="468" t="s">
        <v>205</v>
      </c>
      <c r="C10" s="468"/>
      <c r="D10" s="468"/>
      <c r="E10" s="468"/>
      <c r="F10" s="469"/>
      <c r="G10" s="125" t="s">
        <v>346</v>
      </c>
      <c r="H10" s="483" t="s">
        <v>291</v>
      </c>
      <c r="I10" s="484"/>
      <c r="J10" s="484"/>
      <c r="K10" s="484"/>
      <c r="L10" s="484"/>
      <c r="M10" s="484"/>
      <c r="N10" s="484"/>
      <c r="O10" s="484"/>
      <c r="P10" s="484"/>
    </row>
    <row r="11" spans="1:17" ht="16.5" customHeight="1" thickBot="1" x14ac:dyDescent="0.25">
      <c r="A11" s="78"/>
      <c r="B11" s="78"/>
      <c r="C11" s="78"/>
      <c r="D11" s="468" t="s">
        <v>130</v>
      </c>
      <c r="E11" s="537"/>
      <c r="F11" s="538"/>
      <c r="G11" s="125" t="s">
        <v>346</v>
      </c>
      <c r="H11" s="359"/>
      <c r="I11" s="358"/>
      <c r="J11" s="358"/>
      <c r="K11" s="358"/>
      <c r="L11" s="358"/>
      <c r="M11" s="358"/>
      <c r="N11" s="15"/>
    </row>
    <row r="12" spans="1:17" ht="16.5" customHeight="1" thickBot="1" x14ac:dyDescent="0.25">
      <c r="A12" s="38"/>
      <c r="B12" s="38"/>
      <c r="C12" s="38"/>
      <c r="D12" s="38"/>
      <c r="E12" s="38"/>
      <c r="F12" s="175" t="s">
        <v>12</v>
      </c>
      <c r="G12" s="123">
        <f>IF($G$7="yes",'Priority Score &amp; PF%'!$I$24,0)</f>
        <v>0</v>
      </c>
      <c r="H12" s="483" t="s">
        <v>105</v>
      </c>
      <c r="I12" s="430"/>
      <c r="J12" s="430"/>
      <c r="K12" s="430"/>
      <c r="L12" s="430"/>
      <c r="M12" s="430"/>
      <c r="N12" s="98"/>
    </row>
    <row r="13" spans="1:17" ht="15" customHeight="1" thickBot="1" x14ac:dyDescent="0.3">
      <c r="A13" s="80"/>
      <c r="B13" s="80"/>
      <c r="C13" s="80"/>
      <c r="D13" s="81"/>
      <c r="E13" s="508" t="s">
        <v>107</v>
      </c>
      <c r="F13" s="509"/>
      <c r="G13" s="123" t="str">
        <f>IF($G$7="yes",'Interest Rate'!$I$43,0)</f>
        <v/>
      </c>
      <c r="H13" s="483" t="s">
        <v>106</v>
      </c>
      <c r="I13" s="484"/>
      <c r="J13" s="484"/>
      <c r="K13" s="484"/>
      <c r="L13" s="484"/>
      <c r="M13" s="15"/>
      <c r="N13" s="98"/>
    </row>
    <row r="14" spans="1:17" ht="13.5" customHeight="1" thickBot="1" x14ac:dyDescent="0.25">
      <c r="G14" s="1"/>
      <c r="H14" s="98"/>
      <c r="I14" s="98"/>
      <c r="J14" s="98"/>
      <c r="K14" s="98"/>
      <c r="L14" s="98"/>
      <c r="M14" s="98"/>
      <c r="N14" s="98"/>
    </row>
    <row r="15" spans="1:17" ht="21" customHeight="1" x14ac:dyDescent="0.2">
      <c r="A15" s="531" t="s">
        <v>78</v>
      </c>
      <c r="B15" s="532"/>
      <c r="C15" s="533"/>
      <c r="D15" s="531" t="s">
        <v>49</v>
      </c>
      <c r="E15" s="532"/>
      <c r="F15" s="532"/>
      <c r="G15" s="533"/>
      <c r="H15" s="98"/>
      <c r="I15" s="98"/>
      <c r="J15" s="98"/>
      <c r="K15" s="98"/>
      <c r="L15" s="98"/>
      <c r="M15" s="98"/>
      <c r="N15" s="98"/>
    </row>
    <row r="16" spans="1:17" x14ac:dyDescent="0.2">
      <c r="A16" s="202" t="s">
        <v>0</v>
      </c>
      <c r="B16" s="59"/>
      <c r="C16" s="23"/>
      <c r="D16" s="202" t="s">
        <v>0</v>
      </c>
      <c r="E16" s="193"/>
      <c r="F16" s="194"/>
      <c r="G16" s="65">
        <f>IF(OR($G$8&lt;="no",$G$9="",$G$9="yes",$G$10&lt;="no",$G$6&lt;="no",$G$7&lt;="no"), 0,ROUND($C$16*$G$12/100,0))</f>
        <v>0</v>
      </c>
      <c r="H16" s="103"/>
      <c r="I16" s="104"/>
      <c r="J16" s="103"/>
      <c r="K16" s="98"/>
      <c r="L16" s="98"/>
      <c r="M16" s="98"/>
      <c r="N16" s="98"/>
    </row>
    <row r="17" spans="1:16" x14ac:dyDescent="0.2">
      <c r="A17" s="202" t="s">
        <v>1</v>
      </c>
      <c r="B17" s="59"/>
      <c r="C17" s="23"/>
      <c r="D17" s="202" t="s">
        <v>1</v>
      </c>
      <c r="E17" s="193"/>
      <c r="F17" s="194"/>
      <c r="G17" s="65">
        <f>IF(OR($G$8&lt;="no",$G$9="",$G$9="yes",$G$10&lt;="no",$G$6&lt;="no",$G$7&lt;="no"), 0, ROUND($C$17*$G$12/100,0))</f>
        <v>0</v>
      </c>
      <c r="H17" s="98"/>
      <c r="I17" s="98"/>
      <c r="J17" s="100"/>
      <c r="K17" s="98"/>
      <c r="L17" s="98"/>
      <c r="M17" s="98"/>
      <c r="N17" s="98"/>
    </row>
    <row r="18" spans="1:16" x14ac:dyDescent="0.2">
      <c r="A18" s="202" t="s">
        <v>2</v>
      </c>
      <c r="B18" s="59"/>
      <c r="C18" s="97">
        <f>IF(OR($C$16&lt;=0,$G$7&lt;="no",$G$6&lt;="no"),0,IF($G$11="no",$C$16*0.1,IF($G$11="yes",$C$16*0.05,0)))</f>
        <v>0</v>
      </c>
      <c r="D18" s="190" t="s">
        <v>2</v>
      </c>
      <c r="E18" s="193"/>
      <c r="F18" s="194"/>
      <c r="G18" s="65">
        <f>IF(OR($G$8&lt;="no",$G$9="",$G$9="yes",$G$10&lt;="no",$G$6&lt;="no",$G$7&lt;="no"),0,ROUND($C$18*$G$12/100,0))</f>
        <v>0</v>
      </c>
      <c r="H18" s="485" t="s">
        <v>138</v>
      </c>
      <c r="I18" s="484"/>
      <c r="J18" s="484"/>
      <c r="K18" s="484"/>
      <c r="L18" s="484"/>
      <c r="M18" s="484"/>
      <c r="N18" s="105"/>
      <c r="O18" s="37"/>
    </row>
    <row r="19" spans="1:16" x14ac:dyDescent="0.2">
      <c r="A19" s="190" t="s">
        <v>3</v>
      </c>
      <c r="B19" s="59"/>
      <c r="C19" s="23"/>
      <c r="D19" s="202" t="s">
        <v>3</v>
      </c>
      <c r="E19" s="193"/>
      <c r="F19" s="194"/>
      <c r="G19" s="65">
        <f>IF(OR($G$8&lt;="no",$G$9="",$G$9="yes",$G$10&lt;="no",$G$6&lt;="no",$G$7&lt;="no"), 0,ROUND($C$19*$G$12/100,0))</f>
        <v>0</v>
      </c>
      <c r="H19" s="485" t="s">
        <v>68</v>
      </c>
      <c r="I19" s="484"/>
      <c r="J19" s="484"/>
      <c r="K19" s="484"/>
      <c r="L19" s="484"/>
      <c r="M19" s="484"/>
      <c r="N19" s="98"/>
    </row>
    <row r="20" spans="1:16" x14ac:dyDescent="0.2">
      <c r="A20" s="190" t="s">
        <v>206</v>
      </c>
      <c r="B20" s="59"/>
      <c r="C20" s="23"/>
      <c r="D20" s="190" t="s">
        <v>207</v>
      </c>
      <c r="E20" s="193"/>
      <c r="F20" s="194"/>
      <c r="G20" s="65">
        <f>IF(OR($G$8&lt;="no",$G$9="",$G$9="yes",$G$10&lt;="no",$G$6&lt;="no",$G$7&lt;="no"), 0,ROUND($C$20*$G$12/100,0))</f>
        <v>0</v>
      </c>
      <c r="H20" s="485" t="s">
        <v>283</v>
      </c>
      <c r="I20" s="484"/>
      <c r="J20" s="484"/>
      <c r="K20" s="484"/>
      <c r="L20" s="484"/>
      <c r="M20" s="484"/>
      <c r="N20" s="484"/>
      <c r="O20" s="484"/>
      <c r="P20" s="484"/>
    </row>
    <row r="21" spans="1:16" ht="13.5" thickBot="1" x14ac:dyDescent="0.25">
      <c r="A21" s="56" t="s">
        <v>288</v>
      </c>
      <c r="B21" s="59"/>
      <c r="C21" s="24"/>
      <c r="D21" s="56" t="s">
        <v>288</v>
      </c>
      <c r="E21" s="57"/>
      <c r="F21" s="58"/>
      <c r="G21" s="90">
        <f>IF(OR($G$8&lt;="no",$G$9="",$G$9="yes",$G$10&lt;="no",$G$6&lt;="no",$G$7&lt;="no"), 0, ROUND($C$21*$G$12/100,0))</f>
        <v>0</v>
      </c>
      <c r="H21" s="485" t="s">
        <v>289</v>
      </c>
      <c r="I21" s="484"/>
      <c r="J21" s="484"/>
      <c r="K21" s="484"/>
      <c r="L21" s="98"/>
      <c r="M21" s="98"/>
      <c r="N21" s="98"/>
    </row>
    <row r="22" spans="1:16" ht="13.5" thickBot="1" x14ac:dyDescent="0.25">
      <c r="A22" s="454" t="s">
        <v>79</v>
      </c>
      <c r="B22" s="517"/>
      <c r="C22" s="66">
        <f>IF(OR($C$16&lt;=0,$G$7&lt;="no",$G$6&lt;="no"),0,SUM($C$16:$C$21))</f>
        <v>0</v>
      </c>
      <c r="D22" s="501" t="s">
        <v>80</v>
      </c>
      <c r="E22" s="502"/>
      <c r="F22" s="523"/>
      <c r="G22" s="66">
        <f>IF(OR($G$8&lt;="no",$G$9="",$G$9="yes",$G$6&lt;="no"),0,SUM($G$16:$G$21))</f>
        <v>0</v>
      </c>
      <c r="H22" s="100"/>
      <c r="I22" s="98"/>
      <c r="J22" s="98"/>
      <c r="K22" s="98"/>
      <c r="L22" s="98"/>
      <c r="M22" s="98"/>
      <c r="N22" s="98"/>
    </row>
    <row r="23" spans="1:16" ht="21" customHeight="1" thickBot="1" x14ac:dyDescent="0.25">
      <c r="A23" s="22"/>
      <c r="B23" s="83"/>
      <c r="C23" s="84"/>
      <c r="D23" s="14"/>
      <c r="E23" s="14"/>
      <c r="F23" s="14"/>
      <c r="G23" s="84"/>
      <c r="H23" s="100"/>
      <c r="I23" s="98"/>
      <c r="J23" s="98"/>
      <c r="K23" s="98"/>
      <c r="L23" s="98"/>
      <c r="M23" s="98"/>
      <c r="N23" s="98"/>
    </row>
    <row r="24" spans="1:16" ht="15.75" thickBot="1" x14ac:dyDescent="0.3">
      <c r="A24" s="79"/>
      <c r="B24" s="79"/>
      <c r="C24" s="85"/>
      <c r="E24" s="518" t="s">
        <v>7</v>
      </c>
      <c r="F24" s="519"/>
      <c r="G24" s="520"/>
      <c r="H24" s="98"/>
      <c r="I24" s="98"/>
      <c r="J24" s="98"/>
      <c r="K24" s="98"/>
      <c r="L24" s="98"/>
      <c r="M24" s="98"/>
      <c r="N24" s="98"/>
    </row>
    <row r="25" spans="1:16" ht="17.25" customHeight="1" thickBot="1" x14ac:dyDescent="0.25">
      <c r="A25" s="37"/>
      <c r="B25" s="203" t="s">
        <v>117</v>
      </c>
      <c r="C25" s="86"/>
      <c r="E25" s="195" t="s">
        <v>5</v>
      </c>
      <c r="F25" s="196" t="s">
        <v>8</v>
      </c>
      <c r="G25" s="197" t="s">
        <v>6</v>
      </c>
      <c r="H25" s="529" t="s">
        <v>67</v>
      </c>
      <c r="I25" s="530"/>
      <c r="J25" s="530"/>
      <c r="K25" s="530"/>
      <c r="L25" s="530"/>
      <c r="M25" s="530"/>
      <c r="N25" s="530"/>
      <c r="O25" s="77"/>
    </row>
    <row r="26" spans="1:16" ht="16.5" customHeight="1" thickBot="1" x14ac:dyDescent="0.25">
      <c r="A26" s="37"/>
      <c r="B26" s="203" t="s">
        <v>118</v>
      </c>
      <c r="C26" s="86"/>
      <c r="E26" s="69">
        <f>IF(AND($G$22=$C$25,$C$22&gt;0),($C$22-$G$22-$C$26),IF($G$22&gt;$C$25,($C$22-$C$25-$C$26),0))</f>
        <v>0</v>
      </c>
      <c r="F26" s="69">
        <f>IF($G$22&gt;=$C$25,$C$25,IF($C$25&gt;$G$22,0,$G$22))</f>
        <v>0</v>
      </c>
      <c r="G26" s="91">
        <f>IF(OR($E$26&gt;0,$F$26&gt;0),$C$22,0)</f>
        <v>0</v>
      </c>
      <c r="H26" s="492" t="s">
        <v>287</v>
      </c>
      <c r="I26" s="500"/>
      <c r="J26" s="500"/>
      <c r="K26" s="500"/>
      <c r="L26" s="500"/>
      <c r="M26" s="98"/>
      <c r="N26" s="98"/>
    </row>
    <row r="27" spans="1:16" ht="17.25" customHeight="1" thickBot="1" x14ac:dyDescent="0.25">
      <c r="A27" s="6"/>
      <c r="E27" s="527" t="s">
        <v>17</v>
      </c>
      <c r="F27" s="528"/>
      <c r="G27" s="122">
        <f>IF($G$26&lt;=0,0,$F$26/$G$26*100)</f>
        <v>0</v>
      </c>
      <c r="H27" s="98"/>
      <c r="I27" s="100"/>
      <c r="J27" s="98"/>
      <c r="K27" s="98"/>
      <c r="L27" s="98"/>
      <c r="M27" s="98"/>
      <c r="N27" s="98"/>
    </row>
    <row r="28" spans="1:16" ht="16.5" customHeight="1" thickBot="1" x14ac:dyDescent="0.25">
      <c r="A28" s="78"/>
      <c r="B28" s="87"/>
      <c r="C28" s="12"/>
      <c r="D28" s="88"/>
      <c r="E28" s="527" t="s">
        <v>171</v>
      </c>
      <c r="F28" s="528"/>
      <c r="G28" s="92">
        <f>IF($G$26&lt;=0,0,($E$26+$F$26)*0.02)</f>
        <v>0</v>
      </c>
      <c r="H28" s="336" t="s">
        <v>273</v>
      </c>
      <c r="I28" s="336"/>
      <c r="J28" s="336"/>
      <c r="K28" s="296"/>
      <c r="L28" s="296"/>
      <c r="M28" s="98"/>
      <c r="N28" s="98"/>
    </row>
    <row r="29" spans="1:16" x14ac:dyDescent="0.2">
      <c r="C29" s="89"/>
    </row>
  </sheetData>
  <sheetProtection algorithmName="SHA-512" hashValue="Ul2SykhguKKovwDrxqkw9nkwn9o4Lm0hmQ3WkGuGJPqngMvV1+jS1GE4tRyIXISvIqiZWIIvIlFEWwuTeEYZgQ==" saltValue="xBPtK29XopIMM8jBYQbnRQ==" spinCount="100000" sheet="1" formatCells="0"/>
  <mergeCells count="30">
    <mergeCell ref="A1:G1"/>
    <mergeCell ref="A3:C3"/>
    <mergeCell ref="H12:M12"/>
    <mergeCell ref="H13:L13"/>
    <mergeCell ref="H18:M18"/>
    <mergeCell ref="H2:I2"/>
    <mergeCell ref="H3:I3"/>
    <mergeCell ref="B7:F7"/>
    <mergeCell ref="D11:F11"/>
    <mergeCell ref="C8:F8"/>
    <mergeCell ref="B9:F9"/>
    <mergeCell ref="C6:F6"/>
    <mergeCell ref="H6:O6"/>
    <mergeCell ref="A2:D2"/>
    <mergeCell ref="B10:F10"/>
    <mergeCell ref="H9:N9"/>
    <mergeCell ref="H10:P10"/>
    <mergeCell ref="H20:P20"/>
    <mergeCell ref="H21:K21"/>
    <mergeCell ref="A22:B22"/>
    <mergeCell ref="E28:F28"/>
    <mergeCell ref="E24:G24"/>
    <mergeCell ref="E27:F27"/>
    <mergeCell ref="H26:L26"/>
    <mergeCell ref="H19:M19"/>
    <mergeCell ref="H25:N25"/>
    <mergeCell ref="A15:C15"/>
    <mergeCell ref="D15:G15"/>
    <mergeCell ref="E13:F13"/>
    <mergeCell ref="D22:F22"/>
  </mergeCells>
  <pageMargins left="0.7" right="0.7" top="0.75" bottom="0.75" header="0.3" footer="0.3"/>
  <pageSetup orientation="portrait" horizontalDpi="1200" verticalDpi="1200" r:id="rId1"/>
  <headerFooter scaleWithDoc="0" alignWithMargins="0">
    <oddHeader>&amp;R&amp;D</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50"/>
  <sheetViews>
    <sheetView workbookViewId="0">
      <selection activeCell="B18" sqref="B18 H12:H17"/>
    </sheetView>
  </sheetViews>
  <sheetFormatPr defaultRowHeight="12.75" x14ac:dyDescent="0.2"/>
  <cols>
    <col min="1" max="1" width="11.42578125" style="3" customWidth="1"/>
    <col min="2" max="5" width="12.7109375" style="3" bestFit="1" customWidth="1"/>
    <col min="6" max="6" width="13.42578125" style="3" bestFit="1" customWidth="1"/>
    <col min="7" max="8" width="12.7109375" style="3" bestFit="1" customWidth="1"/>
    <col min="9" max="9" width="10" style="3" customWidth="1"/>
    <col min="10" max="16384" width="9.140625" style="3"/>
  </cols>
  <sheetData>
    <row r="1" spans="1:18" ht="30" customHeight="1" thickBot="1" x14ac:dyDescent="0.25">
      <c r="A1" s="524" t="s">
        <v>83</v>
      </c>
      <c r="B1" s="525"/>
      <c r="C1" s="525"/>
      <c r="D1" s="525"/>
      <c r="E1" s="525"/>
      <c r="F1" s="525"/>
      <c r="G1" s="525"/>
      <c r="H1" s="525"/>
    </row>
    <row r="2" spans="1:18" ht="19.5" thickBot="1" x14ac:dyDescent="0.25">
      <c r="A2" s="472" t="str">
        <f>IF('Project Information'!C3="","Project Name",'Project Information'!C3)</f>
        <v>Project Name</v>
      </c>
      <c r="B2" s="473"/>
      <c r="C2" s="473"/>
      <c r="D2" s="474"/>
      <c r="E2" s="50"/>
      <c r="F2" s="50"/>
      <c r="G2" s="50"/>
      <c r="H2" s="35"/>
      <c r="I2" s="419" t="s">
        <v>15</v>
      </c>
      <c r="J2" s="420"/>
    </row>
    <row r="3" spans="1:18" ht="19.5" thickBot="1" x14ac:dyDescent="0.25">
      <c r="A3" s="480" t="str">
        <f>IF('Project Information'!C4="","Project Number",'Project Information'!C4)</f>
        <v>Project Number</v>
      </c>
      <c r="B3" s="480"/>
      <c r="C3" s="480"/>
      <c r="D3" s="50"/>
      <c r="E3" s="201" t="s">
        <v>27</v>
      </c>
      <c r="F3" s="25"/>
      <c r="G3" s="76"/>
      <c r="H3" s="35"/>
      <c r="I3" s="422" t="s">
        <v>16</v>
      </c>
      <c r="J3" s="423"/>
    </row>
    <row r="4" spans="1:18" ht="70.5" customHeight="1" thickBot="1" x14ac:dyDescent="0.25">
      <c r="A4" s="51"/>
      <c r="B4" s="51"/>
      <c r="C4" s="51"/>
      <c r="D4" s="51"/>
      <c r="E4" s="51"/>
      <c r="F4" s="51"/>
      <c r="G4" s="51"/>
    </row>
    <row r="5" spans="1:18" ht="14.25" customHeight="1" thickBot="1" x14ac:dyDescent="0.25">
      <c r="A5" s="51"/>
      <c r="B5" s="51"/>
      <c r="C5" s="51"/>
      <c r="D5" s="547" t="s">
        <v>158</v>
      </c>
      <c r="E5" s="548"/>
      <c r="F5" s="204">
        <v>1</v>
      </c>
      <c r="G5" s="204">
        <v>2</v>
      </c>
      <c r="H5" s="204">
        <v>3</v>
      </c>
    </row>
    <row r="6" spans="1:18" ht="13.5" customHeight="1" thickBot="1" x14ac:dyDescent="0.25">
      <c r="A6" s="78"/>
      <c r="B6" s="549" t="s">
        <v>159</v>
      </c>
      <c r="C6" s="549"/>
      <c r="D6" s="549"/>
      <c r="E6" s="550"/>
      <c r="F6" s="125"/>
      <c r="G6" s="125"/>
      <c r="H6" s="125"/>
      <c r="I6" s="6"/>
    </row>
    <row r="7" spans="1:18" ht="13.5" thickBot="1" x14ac:dyDescent="0.25">
      <c r="A7" s="78"/>
      <c r="B7" s="549" t="s">
        <v>162</v>
      </c>
      <c r="C7" s="549"/>
      <c r="D7" s="549"/>
      <c r="E7" s="550"/>
      <c r="F7" s="125"/>
      <c r="G7" s="125"/>
      <c r="H7" s="125"/>
      <c r="I7" s="361"/>
      <c r="J7" s="362"/>
      <c r="K7" s="362"/>
      <c r="L7" s="362"/>
      <c r="M7" s="362"/>
      <c r="N7" s="362"/>
      <c r="O7" s="362"/>
      <c r="P7" s="106"/>
      <c r="Q7" s="98"/>
      <c r="R7" s="98"/>
    </row>
    <row r="8" spans="1:18" ht="13.5" thickBot="1" x14ac:dyDescent="0.25">
      <c r="A8" s="78"/>
      <c r="B8" s="549" t="s">
        <v>131</v>
      </c>
      <c r="C8" s="549"/>
      <c r="D8" s="549"/>
      <c r="E8" s="550"/>
      <c r="F8" s="125"/>
      <c r="G8" s="125"/>
      <c r="H8" s="125"/>
      <c r="I8" s="529" t="s">
        <v>139</v>
      </c>
      <c r="J8" s="530"/>
      <c r="K8" s="530"/>
      <c r="L8" s="530"/>
      <c r="M8" s="530"/>
      <c r="N8" s="530"/>
      <c r="O8" s="530"/>
      <c r="P8" s="78"/>
      <c r="Q8" s="98"/>
      <c r="R8" s="98"/>
    </row>
    <row r="9" spans="1:18" ht="19.5" customHeight="1" thickBot="1" x14ac:dyDescent="0.25">
      <c r="E9" s="6"/>
      <c r="F9" s="93"/>
      <c r="G9" s="205" t="s">
        <v>101</v>
      </c>
      <c r="H9" s="123">
        <f>' Construction Cost'!$G$12</f>
        <v>0</v>
      </c>
      <c r="I9" s="98"/>
      <c r="J9" s="98"/>
      <c r="K9" s="98"/>
      <c r="L9" s="98"/>
      <c r="M9" s="98"/>
      <c r="N9" s="98"/>
      <c r="O9" s="98"/>
      <c r="P9" s="98"/>
      <c r="Q9" s="98"/>
      <c r="R9" s="98"/>
    </row>
    <row r="10" spans="1:18" ht="17.25" customHeight="1" x14ac:dyDescent="0.2">
      <c r="A10" s="545" t="s">
        <v>90</v>
      </c>
      <c r="B10" s="545"/>
      <c r="C10" s="545"/>
      <c r="D10" s="545"/>
      <c r="I10" s="98"/>
      <c r="J10" s="98"/>
      <c r="K10" s="98"/>
      <c r="L10" s="98"/>
      <c r="M10" s="98"/>
      <c r="N10" s="98"/>
      <c r="O10" s="98"/>
      <c r="P10" s="98"/>
      <c r="Q10" s="98"/>
      <c r="R10" s="98"/>
    </row>
    <row r="11" spans="1:18" x14ac:dyDescent="0.2">
      <c r="A11" s="546" t="s">
        <v>85</v>
      </c>
      <c r="B11" s="546"/>
      <c r="C11" s="546" t="s">
        <v>90</v>
      </c>
      <c r="D11" s="546"/>
      <c r="E11" s="546" t="s">
        <v>86</v>
      </c>
      <c r="F11" s="546"/>
      <c r="G11" s="546" t="s">
        <v>87</v>
      </c>
      <c r="H11" s="546"/>
      <c r="I11" s="100"/>
      <c r="J11" s="168"/>
      <c r="K11" s="98"/>
      <c r="L11" s="98"/>
      <c r="M11" s="98"/>
      <c r="N11" s="98"/>
      <c r="O11" s="98"/>
      <c r="P11" s="98"/>
      <c r="Q11" s="98"/>
      <c r="R11" s="98"/>
    </row>
    <row r="12" spans="1:18" x14ac:dyDescent="0.2">
      <c r="A12" s="206" t="s">
        <v>0</v>
      </c>
      <c r="B12" s="65">
        <f>IF(AND($F$6="yes",$F$8="yes"),' Construction Cost'!$C$16,0)</f>
        <v>0</v>
      </c>
      <c r="C12" s="206" t="s">
        <v>0</v>
      </c>
      <c r="D12" s="23"/>
      <c r="E12" s="206" t="s">
        <v>0</v>
      </c>
      <c r="F12" s="65">
        <f>IF($B$12&gt;0,$B$12+$D$12,0)</f>
        <v>0</v>
      </c>
      <c r="G12" s="206" t="s">
        <v>0</v>
      </c>
      <c r="H12" s="65">
        <f>IF(AND($F$6="yes",$F$7="yes",$F$8="yes",' Construction Cost'!$G$8="yes"),ROUND($F$12*' Construction Cost'!$G$12/100,0),IF(OR($B$12&lt;=0,$F$8&lt;="no"),0,' Construction Cost'!$G$16))</f>
        <v>0</v>
      </c>
      <c r="I12" s="100"/>
      <c r="J12" s="168"/>
      <c r="K12" s="98"/>
      <c r="L12" s="98"/>
      <c r="M12" s="98"/>
      <c r="N12" s="98"/>
      <c r="O12" s="98"/>
      <c r="P12" s="98"/>
      <c r="Q12" s="98"/>
      <c r="R12" s="98"/>
    </row>
    <row r="13" spans="1:18" x14ac:dyDescent="0.2">
      <c r="A13" s="206" t="s">
        <v>1</v>
      </c>
      <c r="B13" s="65">
        <f>IF(AND($F$6="yes",$F$8="yes"),' Construction Cost'!$C$17,0)</f>
        <v>0</v>
      </c>
      <c r="C13" s="206" t="s">
        <v>1</v>
      </c>
      <c r="D13" s="23"/>
      <c r="E13" s="206" t="s">
        <v>1</v>
      </c>
      <c r="F13" s="65">
        <f>IF($B$13&gt;0,$B$13+$D$13,0)</f>
        <v>0</v>
      </c>
      <c r="G13" s="206" t="s">
        <v>1</v>
      </c>
      <c r="H13" s="65">
        <f>IF(AND($F$6="yes",$F$7="yes",$F$8="yes",' Construction Cost'!$G$8="yes"),ROUND($F$13*' Construction Cost'!$G$12/100,0),IF(OR($B$12&lt;=0,$F$8&lt;="no"),0,' Construction Cost'!$G$17))</f>
        <v>0</v>
      </c>
      <c r="I13" s="100"/>
      <c r="J13" s="100"/>
      <c r="K13" s="98"/>
      <c r="L13" s="98"/>
      <c r="M13" s="98"/>
      <c r="N13" s="98"/>
      <c r="O13" s="98"/>
      <c r="P13" s="98"/>
      <c r="Q13" s="98"/>
      <c r="R13" s="98"/>
    </row>
    <row r="14" spans="1:18" x14ac:dyDescent="0.2">
      <c r="A14" s="206" t="s">
        <v>2</v>
      </c>
      <c r="B14" s="65">
        <f>IF(AND($F$6="yes",$F$8="yes"),' Construction Cost'!$C$18,0)</f>
        <v>0</v>
      </c>
      <c r="C14" s="206" t="s">
        <v>2</v>
      </c>
      <c r="D14" s="97">
        <f>IF(AND($D$12&gt;0,$B$12&gt;0,$B$14/($B$12+0.1)&gt;0.05), (0.05*$D$12-0.05*$B$12), IF(AND($D$12&gt;0,$B$12&gt;0,$B$14/($B$12+0.1)&lt;0.05),(0.05*$D$12),0))</f>
        <v>0</v>
      </c>
      <c r="E14" s="206" t="s">
        <v>2</v>
      </c>
      <c r="F14" s="65">
        <f>IF($B$14&gt;0,$B$14+$D$14,0)</f>
        <v>0</v>
      </c>
      <c r="G14" s="206" t="s">
        <v>2</v>
      </c>
      <c r="H14" s="65">
        <f>IF(AND($F$6="yes",$F$7="yes",$F$8="yes",' Construction Cost'!$G$8="yes"),ROUND($F$14*' Construction Cost'!$G$12/100,0),IF(OR($B$12&lt;=0,$F$8&lt;="no"),0,' Construction Cost'!$G$18))</f>
        <v>0</v>
      </c>
      <c r="I14" s="544" t="s">
        <v>292</v>
      </c>
      <c r="J14" s="530"/>
      <c r="K14" s="530"/>
      <c r="L14" s="530"/>
      <c r="M14" s="530"/>
      <c r="N14" s="530"/>
      <c r="O14" s="530"/>
      <c r="P14" s="530"/>
      <c r="Q14" s="530"/>
      <c r="R14" s="98"/>
    </row>
    <row r="15" spans="1:18" x14ac:dyDescent="0.2">
      <c r="A15" s="206" t="s">
        <v>88</v>
      </c>
      <c r="B15" s="65">
        <f>IF(AND($F$6="yes",$F$8="yes"),' Construction Cost'!$C$19,0)</f>
        <v>0</v>
      </c>
      <c r="C15" s="206" t="s">
        <v>88</v>
      </c>
      <c r="D15" s="23"/>
      <c r="E15" s="206" t="s">
        <v>88</v>
      </c>
      <c r="F15" s="65">
        <f>IF($B$15&gt;0,$B$15+$D$15,0)</f>
        <v>0</v>
      </c>
      <c r="G15" s="206" t="s">
        <v>88</v>
      </c>
      <c r="H15" s="65">
        <f>IF(AND($F$6="yes",$F$7="yes",$F$8="yes",' Construction Cost'!$G$8="yes"),ROUND($F$15*' Construction Cost'!$G$12/100,0),IF(OR($B$12&lt;=0,$F$8&lt;="no"),0,' Construction Cost'!$G$19))</f>
        <v>0</v>
      </c>
      <c r="I15" s="485" t="s">
        <v>169</v>
      </c>
      <c r="J15" s="484"/>
      <c r="K15" s="484"/>
      <c r="L15" s="484"/>
      <c r="M15" s="484"/>
      <c r="N15" s="484"/>
      <c r="O15" s="484"/>
      <c r="P15" s="484"/>
      <c r="Q15" s="484"/>
      <c r="R15" s="98"/>
    </row>
    <row r="16" spans="1:18" x14ac:dyDescent="0.2">
      <c r="A16" s="206" t="s">
        <v>89</v>
      </c>
      <c r="B16" s="65">
        <f>IF(AND($F$6="yes",$F$8="yes"),' Construction Cost'!$C$20,0)</f>
        <v>0</v>
      </c>
      <c r="C16" s="206" t="s">
        <v>89</v>
      </c>
      <c r="D16" s="23"/>
      <c r="E16" s="206" t="s">
        <v>89</v>
      </c>
      <c r="F16" s="65">
        <f>IF($B$16&gt;0,$B$16+$D$16,0)</f>
        <v>0</v>
      </c>
      <c r="G16" s="206" t="s">
        <v>89</v>
      </c>
      <c r="H16" s="65">
        <f>IF(AND($F$6="yes",$F$7="yes",$F$8="yes",' Construction Cost'!$G$8="yes"),ROUND($F$16*' Construction Cost'!$G$12/100,0),IF(OR($B$12&lt;=0,$F$8&lt;="no"),0,' Construction Cost'!$G$20))</f>
        <v>0</v>
      </c>
      <c r="I16" s="363"/>
      <c r="J16" s="358"/>
      <c r="K16" s="358"/>
      <c r="L16" s="358"/>
      <c r="M16" s="358"/>
      <c r="N16" s="358"/>
      <c r="O16" s="98"/>
      <c r="P16" s="98"/>
      <c r="Q16" s="98"/>
      <c r="R16" s="98"/>
    </row>
    <row r="17" spans="1:19" x14ac:dyDescent="0.2">
      <c r="A17" s="94" t="s">
        <v>288</v>
      </c>
      <c r="B17" s="65">
        <f>IF(AND($F$6="yes",$F$8="yes"),' Construction Cost'!$C$21,0)</f>
        <v>0</v>
      </c>
      <c r="C17" s="94" t="s">
        <v>288</v>
      </c>
      <c r="D17" s="23"/>
      <c r="E17" s="94" t="s">
        <v>288</v>
      </c>
      <c r="F17" s="65">
        <f>IF($B$17&gt;0,$B$17+$D$17,0)</f>
        <v>0</v>
      </c>
      <c r="G17" s="94" t="s">
        <v>288</v>
      </c>
      <c r="H17" s="65">
        <f>IF(AND($F$6="yes",$F$7="yes",$F$8="yes",' Construction Cost'!$G$8="yes"),ROUND($F$17*' Construction Cost'!$G$12/100,0),IF(OR($B$12&lt;=0,$F$8&lt;="no"),0,' Construction Cost'!$G$21))</f>
        <v>0</v>
      </c>
      <c r="I17" s="100"/>
      <c r="J17" s="98"/>
      <c r="K17" s="98"/>
      <c r="L17" s="98"/>
      <c r="M17" s="98"/>
      <c r="N17" s="98"/>
      <c r="O17" s="98"/>
      <c r="P17" s="98"/>
      <c r="Q17" s="98"/>
      <c r="R17" s="98"/>
    </row>
    <row r="18" spans="1:19" ht="15.75" thickBot="1" x14ac:dyDescent="0.3">
      <c r="A18" s="207" t="s">
        <v>50</v>
      </c>
      <c r="B18" s="126">
        <f>IF(AND($F$6="yes",$F$8="yes"),SUM($B$12:$B$17),0)</f>
        <v>0</v>
      </c>
      <c r="C18" s="207" t="s">
        <v>163</v>
      </c>
      <c r="D18" s="127">
        <f>IF(AND($F$6="yes",$F$8="yes"),SUM($D$12:$D$17),0)</f>
        <v>0</v>
      </c>
      <c r="E18" s="207" t="s">
        <v>50</v>
      </c>
      <c r="F18" s="126">
        <f>IF($B$18&gt;0,SUM($F$12:$F$17),0)</f>
        <v>0</v>
      </c>
      <c r="G18" s="207" t="s">
        <v>50</v>
      </c>
      <c r="H18" s="128">
        <f>IF($B$18&gt;0,SUM($H$12:$H$17),0)</f>
        <v>0</v>
      </c>
      <c r="I18" s="544" t="s">
        <v>127</v>
      </c>
      <c r="J18" s="551"/>
      <c r="K18" s="551"/>
      <c r="L18" s="551"/>
      <c r="M18" s="551"/>
      <c r="N18" s="551"/>
      <c r="O18" s="551"/>
      <c r="P18" s="551"/>
      <c r="Q18" s="551"/>
      <c r="R18" s="551"/>
    </row>
    <row r="19" spans="1:19" ht="15.75" thickBot="1" x14ac:dyDescent="0.3">
      <c r="E19" s="95"/>
      <c r="F19" s="14"/>
      <c r="G19" s="208" t="s">
        <v>166</v>
      </c>
      <c r="H19" s="129">
        <f>IF($H$18&gt;0,$H$18-ROUND(' Construction Cost'!$G$22,0),0)</f>
        <v>0</v>
      </c>
      <c r="I19" s="529" t="s">
        <v>293</v>
      </c>
      <c r="J19" s="530"/>
      <c r="K19" s="530"/>
      <c r="L19" s="530"/>
      <c r="M19" s="530"/>
      <c r="N19" s="530"/>
      <c r="O19" s="362"/>
      <c r="P19" s="35"/>
      <c r="Q19" s="35"/>
      <c r="R19" s="80"/>
    </row>
    <row r="20" spans="1:19" ht="17.25" customHeight="1" x14ac:dyDescent="0.2">
      <c r="A20" s="545" t="s">
        <v>95</v>
      </c>
      <c r="B20" s="545"/>
      <c r="C20" s="545"/>
      <c r="D20" s="545"/>
      <c r="I20" s="100"/>
      <c r="J20" s="98"/>
      <c r="K20" s="98"/>
      <c r="L20" s="98"/>
      <c r="M20" s="98"/>
      <c r="N20" s="98"/>
      <c r="O20" s="98"/>
      <c r="P20" s="98"/>
      <c r="Q20" s="98"/>
      <c r="R20" s="98"/>
    </row>
    <row r="21" spans="1:19" x14ac:dyDescent="0.2">
      <c r="A21" s="546" t="s">
        <v>99</v>
      </c>
      <c r="B21" s="546"/>
      <c r="C21" s="546" t="s">
        <v>95</v>
      </c>
      <c r="D21" s="546"/>
      <c r="E21" s="546" t="s">
        <v>86</v>
      </c>
      <c r="F21" s="546"/>
      <c r="G21" s="546" t="s">
        <v>87</v>
      </c>
      <c r="H21" s="546"/>
      <c r="I21" s="100"/>
      <c r="J21" s="118"/>
      <c r="K21" s="118"/>
      <c r="L21" s="118"/>
      <c r="M21" s="118"/>
      <c r="N21" s="118"/>
      <c r="O21" s="118"/>
      <c r="P21" s="118"/>
      <c r="Q21" s="118"/>
      <c r="R21" s="98"/>
    </row>
    <row r="22" spans="1:19" x14ac:dyDescent="0.2">
      <c r="A22" s="206" t="s">
        <v>0</v>
      </c>
      <c r="B22" s="65">
        <f>IF(AND($G$6="yes",$G$8="yes"),$F$12,0)</f>
        <v>0</v>
      </c>
      <c r="C22" s="206" t="s">
        <v>0</v>
      </c>
      <c r="D22" s="23"/>
      <c r="E22" s="206" t="s">
        <v>0</v>
      </c>
      <c r="F22" s="65">
        <f>IF($B$22&gt;0,$B$22+$D$22,0)</f>
        <v>0</v>
      </c>
      <c r="G22" s="206" t="s">
        <v>0</v>
      </c>
      <c r="H22" s="65">
        <f>IF(AND($G$6="yes",$G$7="yes",$G$8="yes",$F$7="yes",$F$8="yes",' Construction Cost'!$G$8="yes"),ROUND($F$22*' Construction Cost'!$G$12/100,0),IF(AND($G$6="yes",$G$7="yes",$G$8="yes",$F$7&lt;="no",$F$8="yes"),ROUND(($B$12+$D$22)*' Construction Cost'!$G$12/100,0),IF(AND($G$6="yes",$G$7&lt;="no",$G$8="yes"),$H$12,0)))</f>
        <v>0</v>
      </c>
      <c r="I22" s="100"/>
      <c r="J22" s="118"/>
      <c r="K22" s="118"/>
      <c r="L22" s="118"/>
      <c r="M22" s="118"/>
      <c r="N22" s="118"/>
      <c r="O22" s="118"/>
      <c r="P22" s="118"/>
      <c r="Q22" s="118"/>
      <c r="R22" s="98"/>
    </row>
    <row r="23" spans="1:19" x14ac:dyDescent="0.2">
      <c r="A23" s="206" t="s">
        <v>1</v>
      </c>
      <c r="B23" s="65">
        <f>IF(AND($G$6="yes",$G$8="yes"),$F$13,0)</f>
        <v>0</v>
      </c>
      <c r="C23" s="206" t="s">
        <v>1</v>
      </c>
      <c r="D23" s="23"/>
      <c r="E23" s="206" t="s">
        <v>1</v>
      </c>
      <c r="F23" s="65">
        <f>IF($B$23&gt;0,$B$23+$D$23,0)</f>
        <v>0</v>
      </c>
      <c r="G23" s="206" t="s">
        <v>1</v>
      </c>
      <c r="H23" s="65">
        <f>IF(AND($G$6="yes",$G$7="yes",$G$8="yes",$F$7="yes",' Construction Cost'!$G$8="yes"),ROUND($F$23*' Construction Cost'!$G$12/100,0),IF(AND($G$6="yes",$G$7="yes",$G$8="yes",$F$7&lt;="no",$F$8="yes"), ROUND(($B$13+$D$23)*' Construction Cost'!$G$12/100,0),IF(AND($G$6="yes",$G$7&lt;="no",$G$8="yes"),$H$13,0)))</f>
        <v>0</v>
      </c>
      <c r="I23" s="117"/>
      <c r="J23" s="118"/>
      <c r="K23" s="118"/>
      <c r="L23" s="118"/>
      <c r="M23" s="118"/>
      <c r="N23" s="118"/>
      <c r="O23" s="118"/>
      <c r="P23" s="118"/>
      <c r="Q23" s="118"/>
      <c r="R23" s="98"/>
    </row>
    <row r="24" spans="1:19" x14ac:dyDescent="0.2">
      <c r="A24" s="206" t="s">
        <v>2</v>
      </c>
      <c r="B24" s="65">
        <f>IF(AND($G$6="yes",$G$8="yes"),$F$14,0)</f>
        <v>0</v>
      </c>
      <c r="C24" s="206" t="s">
        <v>2</v>
      </c>
      <c r="D24" s="97">
        <f>IF($D$22&lt;=0,0,$D$22*0.05)</f>
        <v>0</v>
      </c>
      <c r="E24" s="206" t="s">
        <v>2</v>
      </c>
      <c r="F24" s="65">
        <f>IF($B$24&gt;0,$B$24+$D$24,0)</f>
        <v>0</v>
      </c>
      <c r="G24" s="206" t="s">
        <v>2</v>
      </c>
      <c r="H24" s="65">
        <f>IF(AND($G$6="yes",$G$7="yes",$G$8="yes",$F$7="yes",' Construction Cost'!$G$8="yes"),ROUND($F$24*' Construction Cost'!$G$12/100,0),IF(AND($G$6="yes",$G$7="yes",$G$8="yes",$F$7&lt;="no",$F$8="yes"), ROUND(($B$14+$D$24)*' Construction Cost'!$G$12/100,0),IF(AND($G$6="yes",$G$7&lt;="no",$G$8="yes"),$H$14,0)))</f>
        <v>0</v>
      </c>
      <c r="I24" s="119"/>
      <c r="J24" s="118"/>
      <c r="K24" s="118"/>
      <c r="L24" s="118"/>
      <c r="M24" s="118"/>
      <c r="N24" s="118"/>
      <c r="O24" s="118"/>
      <c r="P24" s="118"/>
      <c r="Q24" s="118"/>
      <c r="R24" s="118"/>
      <c r="S24" s="118"/>
    </row>
    <row r="25" spans="1:19" x14ac:dyDescent="0.2">
      <c r="A25" s="206" t="s">
        <v>88</v>
      </c>
      <c r="B25" s="65">
        <f>IF(AND($G$6="yes",$G$8="yes"),$F$15,0)</f>
        <v>0</v>
      </c>
      <c r="C25" s="206" t="s">
        <v>88</v>
      </c>
      <c r="D25" s="23"/>
      <c r="E25" s="206" t="s">
        <v>88</v>
      </c>
      <c r="F25" s="65">
        <f>IF($B$25&gt;0,$B$25+$D$25,0)</f>
        <v>0</v>
      </c>
      <c r="G25" s="206" t="s">
        <v>88</v>
      </c>
      <c r="H25" s="65">
        <f>IF(AND($G$6="yes",$G$7="yes",$G$8="yes",$F$7="yes",$F$8="yes",' Construction Cost'!$G$8="yes"),ROUND($F$25*' Construction Cost'!$G$12/100,0),IF(AND($G$6="yes",$G$7="yes",$G$8="yes",$F$7&lt;="no",$F$8="yes"),ROUND(($B$15+$D$25)*' Construction Cost'!$G$12/100,0),IF(AND($G$6="yes",$G$7&lt;="no",$G$8="yes"),$H$15,0)))</f>
        <v>0</v>
      </c>
      <c r="I25" s="121"/>
      <c r="J25" s="118"/>
      <c r="K25" s="118"/>
      <c r="L25" s="118"/>
      <c r="M25" s="118"/>
      <c r="N25" s="118"/>
      <c r="O25" s="118"/>
      <c r="P25" s="118"/>
      <c r="Q25" s="118"/>
      <c r="R25" s="117"/>
      <c r="S25" s="118"/>
    </row>
    <row r="26" spans="1:19" x14ac:dyDescent="0.2">
      <c r="A26" s="206" t="s">
        <v>89</v>
      </c>
      <c r="B26" s="65">
        <f>IF(AND($G$6="yes",$G$8="yes"),$F$16,0)</f>
        <v>0</v>
      </c>
      <c r="C26" s="206" t="s">
        <v>89</v>
      </c>
      <c r="D26" s="23"/>
      <c r="E26" s="206" t="s">
        <v>89</v>
      </c>
      <c r="F26" s="65">
        <f>IF($B$26&gt;0,$B$26+$D$26,0)</f>
        <v>0</v>
      </c>
      <c r="G26" s="206" t="s">
        <v>89</v>
      </c>
      <c r="H26" s="65">
        <f>IF(AND($G$6="yes",$G$7="yes",$G$8="yes",$F$7="yes",$F$8="yes",' Construction Cost'!$G$8="yes"),ROUND($F$26*' Construction Cost'!$G$12/100,0),IF(AND($G$6="yes",$G$7="yes",$G$8="yes",$F$7&lt;="no",$F$8="yes"),ROUND(($B$16+$D$26)*' Construction Cost'!$G$12/100,0),IF(AND($G$6="yes",$G$7&lt;="no",$G$8="yes"),$H$16,0)))</f>
        <v>0</v>
      </c>
      <c r="I26" s="121"/>
      <c r="J26" s="118"/>
      <c r="K26" s="118"/>
      <c r="L26" s="118"/>
      <c r="M26" s="118"/>
      <c r="N26" s="118"/>
      <c r="O26" s="118"/>
      <c r="P26" s="118"/>
      <c r="Q26" s="118"/>
      <c r="R26" s="117"/>
      <c r="S26" s="118"/>
    </row>
    <row r="27" spans="1:19" x14ac:dyDescent="0.2">
      <c r="A27" s="94" t="s">
        <v>288</v>
      </c>
      <c r="B27" s="65">
        <f>IF(AND($G$6="yes",$G$8="yes"),$F$17,0)</f>
        <v>0</v>
      </c>
      <c r="C27" s="94" t="s">
        <v>288</v>
      </c>
      <c r="D27" s="23"/>
      <c r="E27" s="94" t="s">
        <v>288</v>
      </c>
      <c r="F27" s="65">
        <f>IF($B$27&gt;0,$B$27+$D$27,0)</f>
        <v>0</v>
      </c>
      <c r="G27" s="94" t="s">
        <v>288</v>
      </c>
      <c r="H27" s="65">
        <f>IF(AND($G$6="yes",$G$7="yes",$G$8="yes",$F$7="yes",' Construction Cost'!$G$8="yes"),ROUND($F$27*' Construction Cost'!$G$12/100,0),IF(AND($G$6="yes",$G$7="yes",$G$8="yes",$F$7&lt;="no",$F$8="yes"), ROUND(($B$17+$D$27)*' Construction Cost'!$G$12/100,0),IF(AND($G$6="yes",$G$7&lt;="no",$G$8="yes"),$H$17,0)))</f>
        <v>0</v>
      </c>
      <c r="I27" s="121"/>
      <c r="J27" s="118"/>
      <c r="K27" s="118"/>
      <c r="L27" s="118"/>
      <c r="M27" s="118"/>
      <c r="N27" s="118"/>
      <c r="O27" s="118"/>
      <c r="P27" s="118"/>
      <c r="Q27" s="118"/>
      <c r="R27" s="117"/>
    </row>
    <row r="28" spans="1:19" ht="15.75" thickBot="1" x14ac:dyDescent="0.3">
      <c r="A28" s="207" t="s">
        <v>50</v>
      </c>
      <c r="B28" s="126">
        <f>IF(AND($G$6="yes",$G$8="yes"),$F$18,0)</f>
        <v>0</v>
      </c>
      <c r="C28" s="207" t="s">
        <v>164</v>
      </c>
      <c r="D28" s="127">
        <f>IF(AND($F$6="yes",$F$8="yes",$G$6="yes",$G$8="yes"),SUM($D$22:$D$27),0)</f>
        <v>0</v>
      </c>
      <c r="E28" s="207" t="s">
        <v>50</v>
      </c>
      <c r="F28" s="126">
        <f>IF($B$28&gt;0,SUM($F$22:$F$27),0)</f>
        <v>0</v>
      </c>
      <c r="G28" s="207" t="s">
        <v>50</v>
      </c>
      <c r="H28" s="128">
        <f>IF($B$28&gt;0,SUM($H$22:$H$27),0)</f>
        <v>0</v>
      </c>
      <c r="I28" s="121"/>
      <c r="J28" s="118"/>
      <c r="K28" s="118"/>
      <c r="L28" s="118"/>
      <c r="M28" s="118"/>
      <c r="N28" s="118"/>
      <c r="O28" s="118"/>
      <c r="P28" s="118"/>
      <c r="Q28" s="118"/>
      <c r="R28" s="117"/>
    </row>
    <row r="29" spans="1:19" ht="15.75" thickBot="1" x14ac:dyDescent="0.3">
      <c r="A29" s="6"/>
      <c r="E29" s="95"/>
      <c r="F29" s="14"/>
      <c r="G29" s="208" t="s">
        <v>167</v>
      </c>
      <c r="H29" s="129">
        <f>IF($H$28&gt;0,$H$28-$H$18,0)</f>
        <v>0</v>
      </c>
      <c r="I29" s="100"/>
      <c r="J29" s="118"/>
      <c r="K29" s="118"/>
      <c r="L29" s="118"/>
      <c r="M29" s="118"/>
      <c r="N29" s="118"/>
      <c r="O29" s="118"/>
      <c r="P29" s="118"/>
      <c r="Q29" s="118"/>
      <c r="R29" s="98"/>
    </row>
    <row r="30" spans="1:19" ht="17.25" customHeight="1" x14ac:dyDescent="0.2">
      <c r="A30" s="545" t="s">
        <v>96</v>
      </c>
      <c r="B30" s="545"/>
      <c r="C30" s="545"/>
      <c r="D30" s="545"/>
      <c r="I30" s="98"/>
      <c r="J30" s="117"/>
      <c r="K30" s="98"/>
      <c r="L30" s="98"/>
      <c r="M30" s="98"/>
      <c r="N30" s="98"/>
      <c r="O30" s="98"/>
      <c r="P30" s="98"/>
      <c r="Q30" s="98"/>
      <c r="R30" s="98"/>
    </row>
    <row r="31" spans="1:19" x14ac:dyDescent="0.2">
      <c r="A31" s="546" t="s">
        <v>100</v>
      </c>
      <c r="B31" s="546"/>
      <c r="C31" s="546" t="s">
        <v>96</v>
      </c>
      <c r="D31" s="546"/>
      <c r="E31" s="546" t="s">
        <v>86</v>
      </c>
      <c r="F31" s="546"/>
      <c r="G31" s="546" t="s">
        <v>87</v>
      </c>
      <c r="H31" s="546"/>
      <c r="I31" s="100"/>
      <c r="J31" s="100"/>
      <c r="K31" s="98"/>
      <c r="L31" s="98"/>
      <c r="M31" s="98"/>
      <c r="N31" s="98"/>
      <c r="O31" s="98"/>
      <c r="P31" s="98"/>
      <c r="Q31" s="98"/>
      <c r="R31" s="98"/>
    </row>
    <row r="32" spans="1:19" ht="12.75" customHeight="1" x14ac:dyDescent="0.2">
      <c r="A32" s="206" t="s">
        <v>0</v>
      </c>
      <c r="B32" s="65">
        <f>IF(AND($H$6="yes",$H$8="yes"),$F$22,0)</f>
        <v>0</v>
      </c>
      <c r="C32" s="206" t="s">
        <v>0</v>
      </c>
      <c r="D32" s="23"/>
      <c r="E32" s="206" t="s">
        <v>0</v>
      </c>
      <c r="F32" s="65">
        <f>IF($B$32&gt;0,$B$32+$D$32,0)</f>
        <v>0</v>
      </c>
      <c r="G32" s="206" t="s">
        <v>0</v>
      </c>
      <c r="H32" s="65">
        <f>IF(AND($H$6="yes",$H$7="yes",$H$8="yes",$F$7="yes",$G$7="yes",$F$8="yes",$G$8="yes",' Construction Cost'!$G$8="yes"),ROUND($F$32*' Construction Cost'!$G$12/100,0),IF(AND($H$6="yes",$H$7="yes",$H$8="yes",$F$7&lt;="no",$G$7&lt;="no",$F$8="yes",$G$8="yes"),ROUND(($B$12+$D$32)*' Construction Cost'!$G$12/100,0),IF(AND($H$6="yes",$H$7="yes",$H$8="yes",$F$7="yes",$G$7&lt;="no",$F$8="yes",$G$8="yes"),ROUND(($F$12+$D$32)*' Construction Cost'!$G$12/100,0),IF(AND($H$6="yes",$H$7="yes",$H$8="yes",$F$7&lt;="no",$G$7="yes",$F$8="yes",$G$8="yes"),ROUND(($B$12+$D$22+$D$32)*' Construction Cost'!$G$12/100,0),IF(AND($H$6="yes",$H$7&lt;="no",$H$8="yes",OR($F$7="yes",$F$7&lt;="no"),$G$7="yes",$F$8="yes",$G$8="yes"),$H$22,IF(AND($H$6="yes",$H$7&lt;="no",$H$8="yes",$F$7="yes",$G$7&lt;="no",$F$8="yes",$G$8="yes"),$H$12,IF(AND($H$6="yes",$H$7&lt;="no",$H$8="yes",$F$7&lt;="no",$G$7&lt;="no",$F$8="yes",$G$8="yes"),' Construction Cost'!$G$16,0)))))))</f>
        <v>0</v>
      </c>
      <c r="I32" s="100"/>
      <c r="J32" s="117"/>
      <c r="K32" s="117"/>
      <c r="L32" s="117"/>
      <c r="M32" s="117"/>
      <c r="N32" s="117"/>
      <c r="O32" s="117"/>
      <c r="P32" s="117"/>
      <c r="Q32" s="117"/>
      <c r="R32" s="117"/>
      <c r="S32" s="117"/>
    </row>
    <row r="33" spans="1:19" x14ac:dyDescent="0.2">
      <c r="A33" s="206" t="s">
        <v>1</v>
      </c>
      <c r="B33" s="65">
        <f>IF(AND($H$6="yes",$H$8="yes"),$F$23,0)</f>
        <v>0</v>
      </c>
      <c r="C33" s="206" t="s">
        <v>1</v>
      </c>
      <c r="D33" s="23"/>
      <c r="E33" s="206" t="s">
        <v>1</v>
      </c>
      <c r="F33" s="65">
        <f>IF($B$33&gt;0,$B$33+$D$33,0)</f>
        <v>0</v>
      </c>
      <c r="G33" s="206" t="s">
        <v>1</v>
      </c>
      <c r="H33" s="65">
        <f>IF(AND($H$6="yes",$H$7="yes",$H$8="yes",$F$7="yes",$G$7="yes",$F$8="yes",$G$8="yes",' Construction Cost'!$G$8="yes"),ROUND($F$33*' Construction Cost'!$G$12/100,0),IF(AND($H$6="yes",$H$7="yes",$H$8="yes",$F$7&lt;="no",$G$7&lt;="no",$F$8="yes",$G$8="yes"),ROUND(($B$13+$D$33)*' Construction Cost'!$G$12/100,0),IF(AND($H$6="yes",$H$7="yes",$H$8="yes",$F$7="yes",$G$7&lt;="no",$F$8="yes",$G$8="yes"),ROUND(($F$13+$D$33)*' Construction Cost'!$G$12/100,0),IF(AND($H$6="yes",$H$7="yes",$H$8="yes",$F$7&lt;="no",$G$7="yes",$F$8="yes",$G$8="yes"),ROUND(($B$13+$D$23+$D$33)*' Construction Cost'!$G$12/100,0),IF(AND($H$6="yes",$H$7&lt;="no",$H$8="yes",OR($F$7="yes",$F$7&lt;="no"),$G$7="yes",$F$8="yes",$G$8="yes"),$H$23,IF(AND($H$6="yes",$H$7&lt;="no",$H$8="yes",$F$7="yes",$G$7&lt;="no",$F$8="yes",$G$8="yes"),$H$13,IF(AND($H$6="yes",$H$7&lt;="no",$H$8="yes",$F$7&lt;="no",$G$7&lt;="no",$F$8="yes",$G$8="yes"),' Construction Cost'!$G$17,0)))))))</f>
        <v>0</v>
      </c>
      <c r="I33" s="103"/>
      <c r="J33" s="120"/>
      <c r="K33" s="120"/>
      <c r="L33" s="117"/>
      <c r="M33" s="117"/>
      <c r="N33" s="117"/>
      <c r="O33" s="117"/>
      <c r="P33" s="117"/>
      <c r="Q33" s="117"/>
      <c r="R33" s="117"/>
      <c r="S33" s="117"/>
    </row>
    <row r="34" spans="1:19" x14ac:dyDescent="0.2">
      <c r="A34" s="206" t="s">
        <v>2</v>
      </c>
      <c r="B34" s="65">
        <f>IF(AND($H$6="yes",$H$8="yes"),$F$24,0)</f>
        <v>0</v>
      </c>
      <c r="C34" s="206" t="s">
        <v>2</v>
      </c>
      <c r="D34" s="97">
        <f>IF($D$32&lt;=0,0,$D$32*0.05)</f>
        <v>0</v>
      </c>
      <c r="E34" s="206" t="s">
        <v>2</v>
      </c>
      <c r="F34" s="65">
        <f>IF($B$34&gt;0,$B$34+$D$34,0)</f>
        <v>0</v>
      </c>
      <c r="G34" s="206" t="s">
        <v>2</v>
      </c>
      <c r="H34" s="65">
        <f>IF(AND($H$6="yes",$H$7="yes",$H$8="yes",$F$7="yes",$G$7="yes",$F$8="yes",$G$8="yes",' Construction Cost'!$G$8="yes"),ROUND($F$34*' Construction Cost'!$G$12/100,0),IF(AND($H$6="yes",$H$7="yes",$H$8="yes",$F$7&lt;="no",$G$7&lt;="no",$F$8="yes",$G$8="yes"),ROUND(($B$14+$D$34)*' Construction Cost'!$G$12/100,0),IF(AND($H$6="yes",$H$7="yes",$H$8="yes",$F$7="yes",$G$7&lt;="no",$F$8="yes",$G$8="yes"),ROUND(($F$14+$D$34)*' Construction Cost'!$G$12/100,0),IF(AND($H$6="yes",$H$7="yes",$H$8="yes",$F$7&lt;="no",$G$7="yes",$F$8="yes",$G$8="yes"),ROUND(($B$14+$D$24+$D$34)*' Construction Cost'!$G$12/100,0),IF(AND($H$6="yes",$H$7&lt;="no",$H$8="yes",OR($F$7="yes",$F$7&lt;="no"),$G$7="yes",$F$8="yes",$G$8="yes"),$H$24,IF(AND($H$6="yes",$H$7&lt;="no",$H$8="yes",$F$7="yes",$G$7&lt;="no",$F$8="yes",$G$8="yes"),$H$14,IF(AND($H$6="yes",$H$7&lt;="no",$H$8="yes",$F$7&lt;="no",$G$7&lt;="no",$F$8="yes",$G$8="yes"),' Construction Cost'!$G$18,0)))))))</f>
        <v>0</v>
      </c>
      <c r="I34" s="121"/>
      <c r="J34" s="117"/>
      <c r="K34" s="117"/>
      <c r="L34" s="117"/>
      <c r="M34" s="117"/>
      <c r="N34" s="117"/>
      <c r="O34" s="117"/>
      <c r="P34" s="117"/>
      <c r="Q34" s="117"/>
      <c r="R34" s="117"/>
      <c r="S34" s="117"/>
    </row>
    <row r="35" spans="1:19" x14ac:dyDescent="0.2">
      <c r="A35" s="206" t="s">
        <v>88</v>
      </c>
      <c r="B35" s="65">
        <f>IF(AND($H$6="yes",$H$8="yes"),$F$25,0)</f>
        <v>0</v>
      </c>
      <c r="C35" s="206" t="s">
        <v>88</v>
      </c>
      <c r="D35" s="23"/>
      <c r="E35" s="206" t="s">
        <v>88</v>
      </c>
      <c r="F35" s="65">
        <f>IF($B$35&gt;0,$B$35+$D$35,0)</f>
        <v>0</v>
      </c>
      <c r="G35" s="206" t="s">
        <v>88</v>
      </c>
      <c r="H35" s="65">
        <f>IF(AND($H$6="yes",$H$7="yes",$H$8="yes",$F$7="yes",$G$7="yes",$F$8="yes",$G$8="yes",' Construction Cost'!$G$8="yes"),ROUND($F$35*' Construction Cost'!$G$12/100,0),IF(AND($H$6="yes",$H$7="yes",$H$8="yes",$F$7&lt;="no",$G$7&lt;="no",$F$8="yes",$G$8="yes"),ROUND(($B$15+$D$35)*' Construction Cost'!$G$12/100,0),IF(AND($H$6="yes",$H$7="yes",$H$8="yes",$F$7="yes",$G$7&lt;="no",$F$8="yes",$G$8="yes"),ROUND(($F$15+$D$35)*' Construction Cost'!$G$12/100,0),IF(AND($H$6="yes",$H$7="yes",$H$8="yes",$F$7&lt;="no",$G$7="yes",$F$8="yes",$G$8="yes"),ROUND(($B$15+$D$25+$D$35)*' Construction Cost'!$G$12/100,0),IF(AND($H$6="yes",$H$7&lt;="no",$H$8="yes",OR($F$7="yes",$F$7&lt;="no"),$G$7="yes",$F$8="yes",$G$8="yes"),$H$25,IF(AND($H$6="yes",$H$7&lt;="no",$H$8="yes",$F$7="yes",$G$7&lt;="no",$F$8="yes",$G$8="yes"),$H$15,IF(AND($H$6="yes",$H$7&lt;="no",$H$8="yes",$F$7&lt;="no",$G$7&lt;="no",$F$8="yes",$G$8="yes"),' Construction Cost'!$G$19,0)))))))</f>
        <v>0</v>
      </c>
      <c r="I35" s="121"/>
      <c r="J35" s="117"/>
      <c r="K35" s="117"/>
      <c r="L35" s="117"/>
      <c r="M35" s="117"/>
      <c r="N35" s="117"/>
      <c r="O35" s="117"/>
      <c r="P35" s="117"/>
      <c r="Q35" s="117"/>
      <c r="R35" s="117"/>
    </row>
    <row r="36" spans="1:19" x14ac:dyDescent="0.2">
      <c r="A36" s="206" t="s">
        <v>89</v>
      </c>
      <c r="B36" s="65">
        <f>IF(AND($H$6="yes",$H$8="yes"),$F$26,0)</f>
        <v>0</v>
      </c>
      <c r="C36" s="206" t="s">
        <v>89</v>
      </c>
      <c r="D36" s="23"/>
      <c r="E36" s="206" t="s">
        <v>89</v>
      </c>
      <c r="F36" s="65">
        <f>IF($B$36&gt;0,$B$36+$D$36,0)</f>
        <v>0</v>
      </c>
      <c r="G36" s="206" t="s">
        <v>89</v>
      </c>
      <c r="H36" s="65">
        <f>IF(AND($H$6="yes",$H$7="yes",$H$8="yes",$F$7="yes",$G$7="yes",$F$8="yes",$G$8="yes",' Construction Cost'!$G$8="yes"),ROUND($F$36*' Construction Cost'!$G$12/100,0),IF(AND($H$6="yes",$H$7="yes",$H$8="yes",$F$7&lt;="no",$G$7&lt;="no",$F$8="yes",$G$8="yes"),ROUND(($B$16+$D$36)*' Construction Cost'!$G$12/100,0),IF(AND($H$6="yes",$H$7="yes",$H$8="yes",$F$7="yes",$G$7&lt;="no",$F$8="yes",$G$8="yes"),ROUND(($F$16+$D$36)*' Construction Cost'!$G$12/100,0),IF(AND($H$6="yes",$H$7="yes",$H$8="yes",$F$7&lt;="no",$G$7="yes",$F$8="yes",$G$8="yes"),ROUND(($B$16+$D$26+$D$36)*' Construction Cost'!$G$12/100,0),IF(AND($H$6="yes",$H$7&lt;="no",$H$8="yes",OR($F$7="yes",$F$7&lt;="no"),$G$7="yes",$F$8="yes",$G$8="yes"),$H$26,IF(AND($H$6="yes",$H$7&lt;="no",$H$8="yes",$F$7="yes",$G$7&lt;="no",$F$8="yes",$G$8="yes"),$H$16,IF(AND($H$6="yes",$H$7&lt;="no",$H$8="yes",$F$7&lt;="no",$G$7&lt;="no",$F$8="yes",$G$8="yes"),' Construction Cost'!$G$20,0)))))))</f>
        <v>0</v>
      </c>
      <c r="I36" s="121"/>
      <c r="J36" s="117"/>
      <c r="K36" s="117"/>
      <c r="L36" s="117"/>
      <c r="M36" s="117"/>
      <c r="N36" s="117"/>
      <c r="O36" s="117"/>
      <c r="P36" s="117"/>
      <c r="Q36" s="117"/>
      <c r="R36" s="117"/>
    </row>
    <row r="37" spans="1:19" x14ac:dyDescent="0.2">
      <c r="A37" s="94" t="s">
        <v>288</v>
      </c>
      <c r="B37" s="65">
        <f>IF(AND($H$6="yes",$H$8="yes"),$F$27,0)</f>
        <v>0</v>
      </c>
      <c r="C37" s="94" t="s">
        <v>288</v>
      </c>
      <c r="D37" s="23"/>
      <c r="E37" s="94" t="s">
        <v>288</v>
      </c>
      <c r="F37" s="65">
        <f>IF($B$37&gt;0,$B$37+$D$37,0)</f>
        <v>0</v>
      </c>
      <c r="G37" s="206" t="s">
        <v>288</v>
      </c>
      <c r="H37" s="65">
        <f>IF(AND($H$6="yes",$H$7="yes",$H$8="yes",$F$7="yes",$G$7="yes",$F$8="yes",$G$8="yes",' Construction Cost'!$G$8="yes"),ROUND($F$37*' Construction Cost'!$G$12/100,0),IF(AND($H$6="yes",$H$7="yes",$H$8="yes",$F$7&lt;="no",$G$7&lt;="no",$F$8="yes",$G$8="yes"),ROUND(($B$17+$D$37)*' Construction Cost'!$G$12/100,0),IF(AND($H$6="yes",$H$7="yes",$H$8="yes",$F$7="yes",$G$7&lt;="no",$F$8="yes",$G$8="yes"),ROUND(($F$17+$D$37)*' Construction Cost'!$G$12/100,0),IF(AND($H$6="yes",$H$7="yes",$H$8="yes",$F$7&lt;="no",$G$7="yes",$F$8="yes",$G$8="yes"),ROUND(($B$17+$D$27+$D$37)*' Construction Cost'!$G$12/100,0),IF(AND($H$6="yes",$H$7&lt;="no",$H$8="yes",OR($F$7="yes",$F$7&lt;="no"),$G$7="yes",$F$8="yes",$G$8="yes"),$H$27,IF(AND($H$6="yes",$H$7&lt;="no",$H$8="yes",$F$7="yes",$G$7&lt;="no",$F$8="yes",$G$8="yes"),$H$17,IF(AND($H$6="yes",$H$7&lt;="no",$H$8="yes",$F$7&lt;="no",$G$7&lt;="no",$F$8="yes",$G$8="yes"),' Construction Cost'!$G$21,0)))))))</f>
        <v>0</v>
      </c>
      <c r="I37" s="121"/>
      <c r="J37" s="117"/>
      <c r="K37" s="117"/>
      <c r="L37" s="117"/>
      <c r="M37" s="117"/>
      <c r="N37" s="117"/>
      <c r="O37" s="117"/>
      <c r="P37" s="117"/>
      <c r="Q37" s="117"/>
      <c r="R37" s="117"/>
    </row>
    <row r="38" spans="1:19" ht="15.75" thickBot="1" x14ac:dyDescent="0.3">
      <c r="A38" s="207" t="s">
        <v>50</v>
      </c>
      <c r="B38" s="126">
        <f>IF(AND($H$6="yes",$H$8="yes"),$F$28,0)</f>
        <v>0</v>
      </c>
      <c r="C38" s="207" t="s">
        <v>165</v>
      </c>
      <c r="D38" s="127">
        <f>IF(AND($F$6="yes",$F$8="yes",$G$6="yes",$G$8="yes",$H$6="yes",$H$8="yes"),SUM($D$32:$D$37),0)</f>
        <v>0</v>
      </c>
      <c r="E38" s="207" t="s">
        <v>50</v>
      </c>
      <c r="F38" s="126">
        <f>IF($B$38&gt;0,SUM($F$32:$F$37),0)</f>
        <v>0</v>
      </c>
      <c r="G38" s="207" t="s">
        <v>50</v>
      </c>
      <c r="H38" s="128">
        <f>IF($B$38&gt;0,SUM($H$32:$H$37),0)</f>
        <v>0</v>
      </c>
      <c r="I38" s="100"/>
      <c r="J38" s="98"/>
      <c r="K38" s="98"/>
      <c r="L38" s="98"/>
      <c r="M38" s="98"/>
      <c r="N38" s="98"/>
      <c r="O38" s="98"/>
      <c r="P38" s="98"/>
      <c r="Q38" s="98"/>
      <c r="R38" s="98"/>
    </row>
    <row r="39" spans="1:19" ht="15.75" thickBot="1" x14ac:dyDescent="0.3">
      <c r="A39" s="62"/>
      <c r="B39" s="33"/>
      <c r="C39" s="62"/>
      <c r="D39" s="33"/>
      <c r="E39" s="96"/>
      <c r="F39" s="33"/>
      <c r="G39" s="208" t="s">
        <v>168</v>
      </c>
      <c r="H39" s="129">
        <f>IF($H$38&gt;0,$H$38-$H$28,0)</f>
        <v>0</v>
      </c>
      <c r="I39" s="100"/>
      <c r="J39" s="98"/>
      <c r="K39" s="98"/>
      <c r="L39" s="98"/>
      <c r="M39" s="98"/>
      <c r="N39" s="98"/>
      <c r="O39" s="98"/>
      <c r="P39" s="98"/>
      <c r="Q39" s="98"/>
      <c r="R39" s="98"/>
    </row>
    <row r="40" spans="1:19" ht="13.5" thickBot="1" x14ac:dyDescent="0.25">
      <c r="I40" s="98"/>
      <c r="J40" s="98"/>
      <c r="K40" s="98"/>
      <c r="L40" s="98"/>
      <c r="M40" s="98"/>
      <c r="N40" s="98"/>
      <c r="O40" s="98"/>
      <c r="P40" s="98"/>
      <c r="Q40" s="98"/>
      <c r="R40" s="98"/>
    </row>
    <row r="41" spans="1:19" ht="15.75" thickBot="1" x14ac:dyDescent="0.3">
      <c r="A41" s="552" t="s">
        <v>111</v>
      </c>
      <c r="B41" s="553"/>
      <c r="C41" s="61"/>
      <c r="E41" s="555" t="s">
        <v>7</v>
      </c>
      <c r="F41" s="556"/>
      <c r="G41" s="556"/>
      <c r="H41" s="557"/>
      <c r="I41" s="483" t="s">
        <v>170</v>
      </c>
      <c r="J41" s="484"/>
      <c r="K41" s="484"/>
      <c r="L41" s="484"/>
      <c r="M41" s="484"/>
      <c r="N41" s="484"/>
      <c r="O41" s="484"/>
      <c r="P41" s="484"/>
      <c r="Q41" s="37"/>
      <c r="R41" s="98"/>
    </row>
    <row r="42" spans="1:19" ht="13.5" thickBot="1" x14ac:dyDescent="0.25">
      <c r="A42" s="552" t="s">
        <v>112</v>
      </c>
      <c r="B42" s="553"/>
      <c r="C42" s="61"/>
      <c r="D42" s="209" t="s">
        <v>94</v>
      </c>
      <c r="E42" s="212" t="s">
        <v>4</v>
      </c>
      <c r="F42" s="213" t="s">
        <v>5</v>
      </c>
      <c r="G42" s="214" t="s">
        <v>8</v>
      </c>
      <c r="H42" s="215" t="s">
        <v>6</v>
      </c>
      <c r="I42" s="100"/>
      <c r="J42" s="98"/>
      <c r="K42" s="98"/>
      <c r="L42" s="98"/>
      <c r="M42" s="98"/>
      <c r="N42" s="98"/>
      <c r="O42" s="98"/>
      <c r="P42" s="98"/>
      <c r="Q42" s="98"/>
      <c r="R42" s="98"/>
    </row>
    <row r="43" spans="1:19" ht="13.5" thickBot="1" x14ac:dyDescent="0.25">
      <c r="A43" s="552" t="s">
        <v>113</v>
      </c>
      <c r="B43" s="553"/>
      <c r="C43" s="61"/>
      <c r="D43" s="210" t="s">
        <v>91</v>
      </c>
      <c r="E43" s="216">
        <f>IF(AND($F$6="yes",$F$8="yes",$H$43&gt;0),' Construction Cost'!$C$26,0)</f>
        <v>0</v>
      </c>
      <c r="F43" s="217">
        <f>IF(AND($F$6="yes",$F$8="yes"),' Construction Cost'!$E$26,0)</f>
        <v>0</v>
      </c>
      <c r="G43" s="216">
        <f>IF(AND($F$6="yes",$F$8="yes"),' Construction Cost'!$F$26,0)</f>
        <v>0</v>
      </c>
      <c r="H43" s="218">
        <f>IF(AND($F$6="yes",$F$8="yes"),$B$18,0)</f>
        <v>0</v>
      </c>
      <c r="I43" s="100"/>
      <c r="J43" s="98"/>
      <c r="K43" s="98"/>
      <c r="L43" s="98"/>
      <c r="M43" s="98"/>
      <c r="N43" s="98"/>
      <c r="O43" s="98"/>
      <c r="P43" s="98"/>
      <c r="Q43" s="98"/>
      <c r="R43" s="98"/>
    </row>
    <row r="44" spans="1:19" ht="13.5" thickBot="1" x14ac:dyDescent="0.25">
      <c r="A44" s="552" t="s">
        <v>114</v>
      </c>
      <c r="B44" s="553"/>
      <c r="C44" s="61"/>
      <c r="D44" s="210" t="s">
        <v>84</v>
      </c>
      <c r="E44" s="216">
        <f>IF(AND($F$6="yes",$F$8="yes",$H$44&gt;0),$C$42,0)</f>
        <v>0</v>
      </c>
      <c r="F44" s="217">
        <f>IF(AND($F$6="yes",$F$8="yes",$H$19=$C$41),($D$18-$H$19-$C$42),IF(AND($F$6="yes",$F$8="yes",$H$19&gt;$C$41),($D$18-$C$41-$C$42),IF($D$18&gt;0,$D$18-$C$42,0)))</f>
        <v>0</v>
      </c>
      <c r="G44" s="217">
        <f>IF(AND($F$6="yes",$F$7="yes",$F$8="yes",$H$19&gt;=$C$41),$C$41,IF(AND($F$6="yes",$F$7="yes",$F$8="yes",$C$41&gt;$H$19),0,$H$19))</f>
        <v>0</v>
      </c>
      <c r="H44" s="218">
        <f>IF(AND($F$6="yes",$F$8="yes"),$D$18,0)</f>
        <v>0</v>
      </c>
      <c r="I44" s="100"/>
      <c r="J44" s="98"/>
      <c r="K44" s="98"/>
      <c r="L44" s="100"/>
      <c r="M44" s="98"/>
      <c r="N44" s="98"/>
      <c r="O44" s="98"/>
      <c r="P44" s="98"/>
      <c r="Q44" s="98"/>
      <c r="R44" s="98"/>
    </row>
    <row r="45" spans="1:19" ht="13.5" thickBot="1" x14ac:dyDescent="0.25">
      <c r="A45" s="552" t="s">
        <v>115</v>
      </c>
      <c r="B45" s="553"/>
      <c r="C45" s="61"/>
      <c r="D45" s="210" t="s">
        <v>92</v>
      </c>
      <c r="E45" s="216">
        <f>IF(AND($F$6="yes",$F$8="yes",$G$6="yes",$G$8="yes",$H$45&gt;0),$C$44,0)</f>
        <v>0</v>
      </c>
      <c r="F45" s="217">
        <f>IF(AND($F$6="yes",$F$8="yes",$G$6="yes",$G$8="yes",$H$29=$C$43),($D$28-$H$29-$C$44),IF(AND($F$6="yes",$F$8="yes",$G$6="yes",$G$8="yes",$H$29&gt;$C$43),($D$28-$C$43-$C$44),IF($D$28&gt;0,$D$28-$C$44,0)))</f>
        <v>0</v>
      </c>
      <c r="G45" s="217">
        <f>IF(AND($G$6="yes",$G$7="yes",$G$8="yes",$H$29&gt;=$C$43),$C$43,IF(AND($G$6="yes",$G$7="yes",$G$8="yes",$C$43&gt;$H$29),0,$H$29))</f>
        <v>0</v>
      </c>
      <c r="H45" s="218">
        <f>IF(AND($G$6="yes",$G$8="yes"),$D$28,0)</f>
        <v>0</v>
      </c>
      <c r="I45" s="98"/>
      <c r="J45" s="100"/>
      <c r="K45" s="98"/>
      <c r="L45" s="100"/>
      <c r="M45" s="98"/>
      <c r="N45" s="98"/>
      <c r="O45" s="98"/>
      <c r="P45" s="98"/>
      <c r="Q45" s="98"/>
      <c r="R45" s="98"/>
    </row>
    <row r="46" spans="1:19" ht="13.5" thickBot="1" x14ac:dyDescent="0.25">
      <c r="A46" s="552" t="s">
        <v>116</v>
      </c>
      <c r="B46" s="553"/>
      <c r="C46" s="61"/>
      <c r="D46" s="210" t="s">
        <v>93</v>
      </c>
      <c r="E46" s="216">
        <f>IF(OR($F$46&gt;0,$G$46&gt;0),$C$46,0)</f>
        <v>0</v>
      </c>
      <c r="F46" s="217">
        <f>IF(AND($F$6="yes",$F$8="yes",$G$6="yes",$G$8="yes",$H$6="yes",$H$8="yes",$H$39=$C$45),($D$38-$H$39-$C$46),IF(AND($F$6="yes",$F$8="yes",$G$6="yes",$G$8="yes",$H$6="yes",$H$8="yes",$H$39&gt;$C$45),($D$38-$C$45-$C$46),IF($D$38&gt;0,$D$38-$C$46,0)))</f>
        <v>0</v>
      </c>
      <c r="G46" s="217">
        <f>IF(AND($H$6="yes",$H$7="yes",$H$8="yes",$H$39&gt;=$C$45),$C$45,IF(AND($H$6="yes",$H$7="yes",$H$8="yes",$C$45&gt;$H$39),0,$H$39))</f>
        <v>0</v>
      </c>
      <c r="H46" s="218">
        <f>IF(AND($H$6="yes",$H$8="yes"),$D$38,0)</f>
        <v>0</v>
      </c>
      <c r="I46" s="100"/>
      <c r="J46" s="98"/>
      <c r="K46" s="98"/>
      <c r="L46" s="100"/>
      <c r="M46" s="98"/>
      <c r="N46" s="98"/>
      <c r="O46" s="98"/>
      <c r="P46" s="98"/>
      <c r="Q46" s="98"/>
      <c r="R46" s="98"/>
    </row>
    <row r="47" spans="1:19" ht="14.25" customHeight="1" thickBot="1" x14ac:dyDescent="0.25">
      <c r="D47" s="211" t="s">
        <v>97</v>
      </c>
      <c r="E47" s="69">
        <f>SUM($E$43:$E$46)</f>
        <v>0</v>
      </c>
      <c r="F47" s="69">
        <f>SUM($F$43:$F$46)</f>
        <v>0</v>
      </c>
      <c r="G47" s="219">
        <f>SUM($G$43:$G$46)</f>
        <v>0</v>
      </c>
      <c r="H47" s="91">
        <f>SUM($H$43:$H$46)</f>
        <v>0</v>
      </c>
      <c r="I47" s="98"/>
      <c r="J47" s="100"/>
      <c r="K47" s="98"/>
      <c r="L47" s="100"/>
      <c r="M47" s="98"/>
      <c r="N47" s="98"/>
      <c r="O47" s="98"/>
      <c r="P47" s="98"/>
      <c r="Q47" s="98"/>
      <c r="R47" s="98"/>
    </row>
    <row r="48" spans="1:19" ht="13.5" thickBot="1" x14ac:dyDescent="0.25">
      <c r="F48" s="527" t="s">
        <v>17</v>
      </c>
      <c r="G48" s="528"/>
      <c r="H48" s="131">
        <f>IF($H$47&lt;=0,0,ROUND($G$47/$H$47*100,2))</f>
        <v>0</v>
      </c>
      <c r="I48" s="98"/>
      <c r="J48" s="98"/>
      <c r="K48" s="98"/>
      <c r="L48" s="98"/>
      <c r="M48" s="98"/>
      <c r="N48" s="98"/>
      <c r="O48" s="98"/>
      <c r="P48" s="98"/>
      <c r="Q48" s="98"/>
      <c r="R48" s="98"/>
    </row>
    <row r="49" spans="6:18" ht="13.5" thickBot="1" x14ac:dyDescent="0.25">
      <c r="F49" s="527" t="s">
        <v>18</v>
      </c>
      <c r="G49" s="528"/>
      <c r="H49" s="132">
        <f>IF($H$47&gt;0,' Construction Cost'!$G$13,0)</f>
        <v>0</v>
      </c>
      <c r="I49" s="529" t="s">
        <v>128</v>
      </c>
      <c r="J49" s="554"/>
      <c r="K49" s="554"/>
      <c r="L49" s="554"/>
      <c r="M49" s="554"/>
      <c r="N49" s="554"/>
      <c r="O49" s="554"/>
      <c r="P49" s="98"/>
      <c r="Q49" s="98"/>
      <c r="R49" s="98"/>
    </row>
    <row r="50" spans="6:18" ht="13.5" thickBot="1" x14ac:dyDescent="0.25">
      <c r="F50" s="527" t="s">
        <v>171</v>
      </c>
      <c r="G50" s="528"/>
      <c r="H50" s="130">
        <f>($F$47+$G$47)*0.02</f>
        <v>0</v>
      </c>
      <c r="I50" s="336" t="s">
        <v>273</v>
      </c>
      <c r="J50" s="336"/>
      <c r="K50" s="336"/>
      <c r="L50" s="296"/>
      <c r="M50" s="296"/>
      <c r="N50" s="221"/>
      <c r="O50" s="98"/>
      <c r="P50" s="98"/>
      <c r="Q50" s="98"/>
      <c r="R50" s="98"/>
    </row>
  </sheetData>
  <sheetProtection algorithmName="SHA-512" hashValue="n09DrYtOS6rFdeX2FjkouTzxlV9ZufHWtXHeKw+kxJxyFlDuzq1IFz5FNK58fG8WHX07j3EGpC4l0oL4wmkB7A==" saltValue="Gq3ljlTZLdS1HPs2LvR+LA==" spinCount="100000" sheet="1" formatCells="0"/>
  <mergeCells count="41">
    <mergeCell ref="A41:B41"/>
    <mergeCell ref="A42:B42"/>
    <mergeCell ref="I49:O49"/>
    <mergeCell ref="F49:G49"/>
    <mergeCell ref="F50:G50"/>
    <mergeCell ref="A46:B46"/>
    <mergeCell ref="F48:G48"/>
    <mergeCell ref="E41:H41"/>
    <mergeCell ref="A43:B43"/>
    <mergeCell ref="A44:B44"/>
    <mergeCell ref="A45:B45"/>
    <mergeCell ref="C11:D11"/>
    <mergeCell ref="E11:F11"/>
    <mergeCell ref="G11:H11"/>
    <mergeCell ref="I41:P41"/>
    <mergeCell ref="C31:D31"/>
    <mergeCell ref="E31:F31"/>
    <mergeCell ref="G31:H31"/>
    <mergeCell ref="I18:R18"/>
    <mergeCell ref="I19:N19"/>
    <mergeCell ref="A3:C3"/>
    <mergeCell ref="A30:D30"/>
    <mergeCell ref="A31:B31"/>
    <mergeCell ref="A1:H1"/>
    <mergeCell ref="A2:D2"/>
    <mergeCell ref="A21:B21"/>
    <mergeCell ref="C21:D21"/>
    <mergeCell ref="E21:F21"/>
    <mergeCell ref="G21:H21"/>
    <mergeCell ref="D5:E5"/>
    <mergeCell ref="B6:E6"/>
    <mergeCell ref="B7:E7"/>
    <mergeCell ref="B8:E8"/>
    <mergeCell ref="A20:D20"/>
    <mergeCell ref="A10:D10"/>
    <mergeCell ref="A11:B11"/>
    <mergeCell ref="I2:J2"/>
    <mergeCell ref="I3:J3"/>
    <mergeCell ref="I8:O8"/>
    <mergeCell ref="I15:Q15"/>
    <mergeCell ref="I14:Q14"/>
  </mergeCells>
  <pageMargins left="0.7" right="0.45" top="0.25" bottom="0.1" header="0.05" footer="0.05"/>
  <pageSetup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EC1F9-D0A9-434F-987B-FC9553D8C471}">
  <dimension ref="A1:R133"/>
  <sheetViews>
    <sheetView zoomScaleNormal="100" workbookViewId="0">
      <selection activeCell="F13" sqref="F13:F14 F21 F25"/>
    </sheetView>
  </sheetViews>
  <sheetFormatPr defaultRowHeight="12.75" x14ac:dyDescent="0.2"/>
  <cols>
    <col min="1" max="1" width="3.85546875" customWidth="1"/>
    <col min="2" max="2" width="13.5703125" customWidth="1"/>
    <col min="3" max="3" width="16" customWidth="1"/>
    <col min="4" max="4" width="26.85546875" bestFit="1" customWidth="1"/>
    <col min="5" max="5" width="32.28515625" bestFit="1" customWidth="1"/>
    <col min="6" max="6" width="17" customWidth="1"/>
    <col min="7" max="7" width="14.42578125" bestFit="1" customWidth="1"/>
  </cols>
  <sheetData>
    <row r="1" spans="1:9" ht="23.25" x14ac:dyDescent="0.2">
      <c r="A1" s="601" t="s">
        <v>318</v>
      </c>
      <c r="B1" s="601"/>
      <c r="C1" s="601"/>
      <c r="D1" s="601"/>
      <c r="E1" s="601"/>
      <c r="F1" s="602"/>
    </row>
    <row r="2" spans="1:9" ht="18.75" x14ac:dyDescent="0.2">
      <c r="A2" s="603" t="str">
        <f>IF('Project Information'!C3="","Project Name",'Project Information'!C3)</f>
        <v>Project Name</v>
      </c>
      <c r="B2" s="603"/>
      <c r="C2" s="603"/>
      <c r="D2" s="603"/>
      <c r="E2" s="604"/>
      <c r="F2" s="604"/>
      <c r="H2" s="595" t="s">
        <v>15</v>
      </c>
      <c r="I2" s="595"/>
    </row>
    <row r="3" spans="1:9" ht="18" x14ac:dyDescent="0.2">
      <c r="A3" s="603" t="str">
        <f>IF('Project Information'!C4="","Project Number",'Project Information'!C4)</f>
        <v>Project Number</v>
      </c>
      <c r="B3" s="603"/>
      <c r="C3" s="603"/>
      <c r="D3" s="603"/>
      <c r="E3" s="313" t="s">
        <v>27</v>
      </c>
      <c r="F3" s="297"/>
      <c r="H3" s="596" t="s">
        <v>16</v>
      </c>
      <c r="I3" s="596"/>
    </row>
    <row r="4" spans="1:9" ht="15" x14ac:dyDescent="0.25">
      <c r="A4" s="605"/>
      <c r="B4" s="605"/>
      <c r="C4" s="605"/>
      <c r="D4" s="605"/>
      <c r="E4" s="605"/>
      <c r="F4" s="605"/>
    </row>
    <row r="5" spans="1:9" x14ac:dyDescent="0.2">
      <c r="A5" s="298"/>
      <c r="B5" s="298"/>
      <c r="C5" s="298"/>
      <c r="D5" s="298"/>
      <c r="E5" s="314" t="s">
        <v>259</v>
      </c>
      <c r="F5" s="314" t="s">
        <v>260</v>
      </c>
    </row>
    <row r="6" spans="1:9" ht="20.25" customHeight="1" x14ac:dyDescent="0.2">
      <c r="A6" s="600" t="s">
        <v>295</v>
      </c>
      <c r="B6" s="600"/>
      <c r="C6" s="600"/>
      <c r="D6" s="600"/>
      <c r="E6" s="332">
        <f>IF('Construction Cost Increase'!$F$12=0,' Construction Cost'!$C$16,IF('Construction Cost Increase'!$F$22=0,'Construction Cost Increase'!$F$12,IF('Construction Cost Increase'!$F$32=0,'Construction Cost Increase'!$F$22,IF('Construction Cost Increase'!$F$32&gt;0,'Construction Cost Increase'!$F$32,0))))</f>
        <v>0</v>
      </c>
      <c r="F6" s="300"/>
    </row>
    <row r="7" spans="1:9" x14ac:dyDescent="0.2">
      <c r="A7" s="319">
        <v>1</v>
      </c>
      <c r="B7" s="559"/>
      <c r="C7" s="559"/>
      <c r="D7" s="559"/>
      <c r="E7" s="300"/>
      <c r="F7" s="299"/>
    </row>
    <row r="8" spans="1:9" x14ac:dyDescent="0.2">
      <c r="A8" s="319">
        <v>2</v>
      </c>
      <c r="B8" s="559"/>
      <c r="C8" s="559"/>
      <c r="D8" s="559"/>
      <c r="E8" s="300"/>
      <c r="F8" s="299"/>
    </row>
    <row r="9" spans="1:9" x14ac:dyDescent="0.2">
      <c r="A9" s="319">
        <v>3</v>
      </c>
      <c r="B9" s="559"/>
      <c r="C9" s="559"/>
      <c r="D9" s="559"/>
      <c r="E9" s="300"/>
      <c r="F9" s="299"/>
    </row>
    <row r="10" spans="1:9" x14ac:dyDescent="0.2">
      <c r="A10" s="319">
        <v>4</v>
      </c>
      <c r="B10" s="559"/>
      <c r="C10" s="559"/>
      <c r="D10" s="559"/>
      <c r="E10" s="300"/>
      <c r="F10" s="299"/>
    </row>
    <row r="11" spans="1:9" x14ac:dyDescent="0.2">
      <c r="A11" s="319">
        <v>5</v>
      </c>
      <c r="B11" s="559"/>
      <c r="C11" s="559"/>
      <c r="D11" s="559"/>
      <c r="E11" s="300"/>
      <c r="F11" s="299"/>
    </row>
    <row r="12" spans="1:9" x14ac:dyDescent="0.2">
      <c r="A12" s="319">
        <v>6</v>
      </c>
      <c r="B12" s="560"/>
      <c r="C12" s="560"/>
      <c r="D12" s="560"/>
      <c r="E12" s="300"/>
      <c r="F12" s="299"/>
    </row>
    <row r="13" spans="1:9" x14ac:dyDescent="0.2">
      <c r="A13" s="558"/>
      <c r="B13" s="558"/>
      <c r="C13" s="558"/>
      <c r="D13" s="295" t="s">
        <v>261</v>
      </c>
      <c r="E13" s="301"/>
      <c r="F13" s="302">
        <f>SUM($F$7:$F$12)</f>
        <v>0</v>
      </c>
    </row>
    <row r="14" spans="1:9" ht="14.25" customHeight="1" x14ac:dyDescent="0.2">
      <c r="A14" s="599" t="s">
        <v>299</v>
      </c>
      <c r="B14" s="599"/>
      <c r="C14" s="599"/>
      <c r="D14" s="599"/>
      <c r="E14" s="302">
        <f>IF('Construction Cost Increase'!$F$13=0,' Construction Cost'!$C$17,IF('Construction Cost Increase'!$F$23=0,'Construction Cost Increase'!$F$13,IF('Construction Cost Increase'!$F$33=0,'Construction Cost Increase'!$F$23,IF('Construction Cost Increase'!$F$33&gt;0,'Construction Cost Increase'!$F$33,0))))</f>
        <v>0</v>
      </c>
      <c r="F14" s="299"/>
    </row>
    <row r="15" spans="1:9" ht="14.25" customHeight="1" x14ac:dyDescent="0.2">
      <c r="A15" s="606" t="s">
        <v>300</v>
      </c>
      <c r="B15" s="606"/>
      <c r="C15" s="606"/>
      <c r="D15" s="606"/>
      <c r="E15" s="302">
        <f>IF('Construction Cost Increase'!$F$14=0,' Construction Cost'!$C$18,IF('Construction Cost Increase'!$F$24=0,'Construction Cost Increase'!$F$14,IF('Construction Cost Increase'!$F$34=0,'Construction Cost Increase'!$F$24,IF('Construction Cost Increase'!$F$34&gt;0,'Construction Cost Increase'!$F$34,0))))</f>
        <v>0</v>
      </c>
      <c r="F15" s="301"/>
    </row>
    <row r="16" spans="1:9" ht="18.75" customHeight="1" x14ac:dyDescent="0.2">
      <c r="A16" s="599" t="s">
        <v>294</v>
      </c>
      <c r="B16" s="599"/>
      <c r="C16" s="599"/>
      <c r="D16" s="599"/>
      <c r="E16" s="332">
        <f>IF('Construction Cost Increase'!$F$15=0,' Construction Cost'!$C$19,IF('Construction Cost Increase'!$F$25=0,'Construction Cost Increase'!$F$15,IF('Construction Cost Increase'!$F$35=0,'Construction Cost Increase'!$F$25,IF('Construction Cost Increase'!$F$35&gt;0,'Construction Cost Increase'!$F$35,0))))</f>
        <v>0</v>
      </c>
      <c r="F16" s="300"/>
    </row>
    <row r="17" spans="1:18" x14ac:dyDescent="0.2">
      <c r="A17" s="319">
        <v>1</v>
      </c>
      <c r="B17" s="559"/>
      <c r="C17" s="559"/>
      <c r="D17" s="559"/>
      <c r="E17" s="300"/>
      <c r="F17" s="299"/>
      <c r="G17" s="323"/>
      <c r="H17" s="323"/>
      <c r="I17" s="323"/>
      <c r="J17" s="323"/>
      <c r="K17" s="323"/>
      <c r="L17" s="323"/>
      <c r="M17" s="323"/>
      <c r="N17" s="323"/>
      <c r="O17" s="323"/>
      <c r="P17" s="323"/>
      <c r="Q17" s="323"/>
      <c r="R17" s="323"/>
    </row>
    <row r="18" spans="1:18" x14ac:dyDescent="0.2">
      <c r="A18" s="319">
        <v>2</v>
      </c>
      <c r="B18" s="559"/>
      <c r="C18" s="559"/>
      <c r="D18" s="559"/>
      <c r="E18" s="300"/>
      <c r="F18" s="299"/>
      <c r="G18" s="323"/>
      <c r="H18" s="323"/>
      <c r="I18" s="323"/>
      <c r="J18" s="323"/>
      <c r="K18" s="323"/>
      <c r="L18" s="323"/>
      <c r="M18" s="364"/>
      <c r="N18" s="323"/>
      <c r="O18" s="323"/>
      <c r="P18" s="323"/>
      <c r="Q18" s="323"/>
      <c r="R18" s="323"/>
    </row>
    <row r="19" spans="1:18" x14ac:dyDescent="0.2">
      <c r="A19" s="319">
        <v>3</v>
      </c>
      <c r="B19" s="559"/>
      <c r="C19" s="559"/>
      <c r="D19" s="559"/>
      <c r="E19" s="300"/>
      <c r="F19" s="299"/>
      <c r="G19" s="323"/>
      <c r="H19" s="323"/>
      <c r="I19" s="323"/>
      <c r="J19" s="323"/>
      <c r="K19" s="323"/>
      <c r="L19" s="323"/>
      <c r="M19" s="323"/>
      <c r="N19" s="323"/>
      <c r="O19" s="323"/>
      <c r="P19" s="323"/>
      <c r="Q19" s="323"/>
      <c r="R19" s="323"/>
    </row>
    <row r="20" spans="1:18" x14ac:dyDescent="0.2">
      <c r="A20" s="319">
        <v>4</v>
      </c>
      <c r="B20" s="560"/>
      <c r="C20" s="560"/>
      <c r="D20" s="560"/>
      <c r="E20" s="300"/>
      <c r="F20" s="299"/>
      <c r="G20" s="323"/>
      <c r="H20" s="323"/>
      <c r="I20" s="323"/>
      <c r="J20" s="323"/>
      <c r="K20" s="323"/>
      <c r="L20" s="323"/>
      <c r="M20" s="323"/>
      <c r="N20" s="323"/>
      <c r="O20" s="323"/>
      <c r="P20" s="323"/>
      <c r="Q20" s="323"/>
      <c r="R20" s="323"/>
    </row>
    <row r="21" spans="1:18" x14ac:dyDescent="0.2">
      <c r="A21" s="598"/>
      <c r="B21" s="598"/>
      <c r="C21" s="598"/>
      <c r="D21" s="295" t="s">
        <v>262</v>
      </c>
      <c r="E21" s="300"/>
      <c r="F21" s="302">
        <f>SUM($F$17:$F$20)</f>
        <v>0</v>
      </c>
      <c r="G21" s="323"/>
      <c r="H21" s="323"/>
      <c r="I21" s="323"/>
      <c r="J21" s="323"/>
      <c r="K21" s="323"/>
      <c r="L21" s="323"/>
      <c r="M21" s="323"/>
      <c r="N21" s="323"/>
      <c r="O21" s="323"/>
      <c r="P21" s="323"/>
      <c r="Q21" s="323"/>
      <c r="R21" s="323"/>
    </row>
    <row r="22" spans="1:18" ht="18" customHeight="1" x14ac:dyDescent="0.2">
      <c r="A22" s="599" t="s">
        <v>296</v>
      </c>
      <c r="B22" s="599"/>
      <c r="C22" s="599"/>
      <c r="D22" s="599"/>
      <c r="E22" s="332">
        <f>IF('Construction Cost Increase'!$F$17=0,' Construction Cost'!$C$21,IF('Construction Cost Increase'!$F$27=0,'Construction Cost Increase'!$F$17,IF('Construction Cost Increase'!$F$37=0,'Construction Cost Increase'!$F$27,IF('Construction Cost Increase'!$F$37&gt;0,'Construction Cost Increase'!$F$37,0))))</f>
        <v>0</v>
      </c>
      <c r="F22" s="300"/>
      <c r="G22" s="323"/>
      <c r="H22" s="323"/>
      <c r="I22" s="323"/>
      <c r="J22" s="323"/>
      <c r="K22" s="323"/>
      <c r="L22" s="323"/>
      <c r="M22" s="323"/>
      <c r="N22" s="323"/>
      <c r="O22" s="323"/>
      <c r="P22" s="323"/>
      <c r="Q22" s="323"/>
      <c r="R22" s="323"/>
    </row>
    <row r="23" spans="1:18" x14ac:dyDescent="0.2">
      <c r="A23" s="319">
        <v>1</v>
      </c>
      <c r="B23" s="559"/>
      <c r="C23" s="559"/>
      <c r="D23" s="559"/>
      <c r="E23" s="300"/>
      <c r="F23" s="299"/>
      <c r="G23" s="323"/>
      <c r="H23" s="323"/>
      <c r="I23" s="323"/>
      <c r="J23" s="323"/>
      <c r="K23" s="323"/>
      <c r="L23" s="323"/>
      <c r="M23" s="323"/>
      <c r="N23" s="323"/>
      <c r="O23" s="323"/>
      <c r="P23" s="323"/>
      <c r="Q23" s="323"/>
      <c r="R23" s="323"/>
    </row>
    <row r="24" spans="1:18" x14ac:dyDescent="0.2">
      <c r="A24" s="319">
        <v>2</v>
      </c>
      <c r="B24" s="559"/>
      <c r="C24" s="559"/>
      <c r="D24" s="559"/>
      <c r="E24" s="300"/>
      <c r="F24" s="299"/>
      <c r="G24" s="323"/>
      <c r="H24" s="323"/>
      <c r="I24" s="323"/>
      <c r="J24" s="323"/>
      <c r="K24" s="323"/>
      <c r="L24" s="323"/>
      <c r="M24" s="323"/>
      <c r="N24" s="323"/>
      <c r="O24" s="323"/>
      <c r="P24" s="323"/>
      <c r="Q24" s="323"/>
      <c r="R24" s="323"/>
    </row>
    <row r="25" spans="1:18" x14ac:dyDescent="0.2">
      <c r="A25" s="558"/>
      <c r="B25" s="558"/>
      <c r="C25" s="558"/>
      <c r="D25" s="295" t="s">
        <v>298</v>
      </c>
      <c r="E25" s="301"/>
      <c r="F25" s="302">
        <f>SUM($F$23:$F$24)</f>
        <v>0</v>
      </c>
      <c r="G25" s="323"/>
      <c r="H25" s="323"/>
      <c r="I25" s="323"/>
      <c r="J25" s="323"/>
      <c r="K25" s="323"/>
      <c r="L25" s="323"/>
      <c r="M25" s="323"/>
      <c r="N25" s="323"/>
      <c r="O25" s="323"/>
      <c r="P25" s="323"/>
      <c r="Q25" s="323"/>
      <c r="R25" s="323"/>
    </row>
    <row r="26" spans="1:18" x14ac:dyDescent="0.2">
      <c r="A26" s="558"/>
      <c r="B26" s="558"/>
      <c r="C26" s="558"/>
      <c r="D26" s="295" t="s">
        <v>263</v>
      </c>
      <c r="E26" s="302">
        <f>SUM($E$6:$E$22)</f>
        <v>0</v>
      </c>
      <c r="F26" s="302">
        <f>$F$13+$F$14+$F$21+$F$25</f>
        <v>0</v>
      </c>
      <c r="G26" s="323"/>
      <c r="H26" s="323"/>
      <c r="I26" s="323"/>
      <c r="J26" s="323"/>
      <c r="K26" s="323"/>
      <c r="L26" s="323"/>
      <c r="M26" s="323"/>
      <c r="N26" s="323"/>
      <c r="O26" s="323"/>
      <c r="P26" s="323"/>
      <c r="Q26" s="323"/>
      <c r="R26" s="323"/>
    </row>
    <row r="27" spans="1:18" ht="18" customHeight="1" x14ac:dyDescent="0.2">
      <c r="A27" s="599" t="s">
        <v>301</v>
      </c>
      <c r="B27" s="599"/>
      <c r="C27" s="599"/>
      <c r="D27" s="599"/>
      <c r="E27" s="302">
        <f>IF('Construction Cost Increase'!$F$16=0,' Construction Cost'!$C$20,IF('Construction Cost Increase'!$F$26=0,'Construction Cost Increase'!$F$16,IF('Construction Cost Increase'!$F$36=0,'Construction Cost Increase'!$F$26,IF('Construction Cost Increase'!$F$36&gt;0,'Construction Cost Increase'!$F$36,0))))</f>
        <v>0</v>
      </c>
      <c r="F27" s="299"/>
      <c r="G27" s="323"/>
      <c r="H27" s="323"/>
      <c r="I27" s="323"/>
      <c r="J27" s="323"/>
      <c r="K27" s="323"/>
      <c r="L27" s="323"/>
      <c r="M27" s="323"/>
      <c r="N27" s="323"/>
      <c r="O27" s="323"/>
      <c r="P27" s="323"/>
      <c r="Q27" s="323"/>
      <c r="R27" s="323"/>
    </row>
    <row r="28" spans="1:18" ht="16.5" customHeight="1" x14ac:dyDescent="0.2">
      <c r="A28" s="597" t="s">
        <v>302</v>
      </c>
      <c r="B28" s="597"/>
      <c r="C28" s="597"/>
      <c r="D28" s="597"/>
      <c r="E28" s="406">
        <f>IF('Construction Cost Increase'!$E$43&lt;=0,' Construction Cost'!$C$26,IF('Construction Cost Increase'!$E$43&gt;0,'Construction Cost Increase'!$E$47,0))</f>
        <v>0</v>
      </c>
      <c r="F28" s="303"/>
      <c r="G28" s="323"/>
      <c r="H28" s="323"/>
      <c r="I28" s="323"/>
      <c r="J28" s="323"/>
      <c r="K28" s="323"/>
      <c r="L28" s="323"/>
      <c r="M28" s="323"/>
      <c r="N28" s="323"/>
      <c r="O28" s="323"/>
      <c r="P28" s="323"/>
      <c r="Q28" s="323"/>
      <c r="R28" s="323"/>
    </row>
    <row r="29" spans="1:18" x14ac:dyDescent="0.2">
      <c r="A29" s="558"/>
      <c r="B29" s="558"/>
      <c r="C29" s="558"/>
      <c r="D29" s="295" t="s">
        <v>264</v>
      </c>
      <c r="E29" s="302">
        <f>$E$26 + $E$27-$E$28</f>
        <v>0</v>
      </c>
      <c r="F29" s="303"/>
      <c r="G29" s="323"/>
      <c r="H29" s="323"/>
      <c r="I29" s="323"/>
      <c r="J29" s="323"/>
      <c r="K29" s="323"/>
      <c r="L29" s="323"/>
      <c r="M29" s="323"/>
      <c r="N29" s="323"/>
      <c r="O29" s="323"/>
      <c r="P29" s="323"/>
      <c r="Q29" s="323"/>
      <c r="R29" s="323"/>
    </row>
    <row r="30" spans="1:18" x14ac:dyDescent="0.2">
      <c r="A30" s="558"/>
      <c r="B30" s="558"/>
      <c r="C30" s="558"/>
      <c r="D30" s="295" t="s">
        <v>265</v>
      </c>
      <c r="E30" s="302">
        <f>$F$26+$F$27</f>
        <v>0</v>
      </c>
      <c r="F30" s="304"/>
      <c r="G30" s="323"/>
      <c r="H30" s="323"/>
      <c r="I30" s="323"/>
      <c r="J30" s="323"/>
      <c r="K30" s="323"/>
      <c r="L30" s="323"/>
      <c r="M30" s="323"/>
      <c r="N30" s="323"/>
      <c r="O30" s="323"/>
      <c r="P30" s="323"/>
      <c r="Q30" s="323"/>
      <c r="R30" s="323"/>
    </row>
    <row r="31" spans="1:18" ht="15" customHeight="1" x14ac:dyDescent="0.2">
      <c r="A31" s="558"/>
      <c r="B31" s="558"/>
      <c r="C31" s="558"/>
      <c r="D31" s="320" t="s">
        <v>266</v>
      </c>
      <c r="E31" s="315">
        <f>$E$29-$E$30</f>
        <v>0</v>
      </c>
      <c r="F31" s="305"/>
      <c r="G31" s="323"/>
      <c r="H31" s="323"/>
      <c r="I31" s="323"/>
      <c r="J31" s="323"/>
      <c r="K31" s="323"/>
      <c r="L31" s="323"/>
      <c r="M31" s="323"/>
      <c r="N31" s="323"/>
      <c r="O31" s="323"/>
      <c r="P31" s="323"/>
      <c r="Q31" s="323"/>
      <c r="R31" s="323"/>
    </row>
    <row r="32" spans="1:18" x14ac:dyDescent="0.2">
      <c r="A32" s="612" t="s">
        <v>297</v>
      </c>
      <c r="B32" s="612"/>
      <c r="C32" s="612"/>
      <c r="D32" s="612"/>
      <c r="E32" s="306"/>
      <c r="F32" s="302">
        <f>$E$30*0.02</f>
        <v>0</v>
      </c>
      <c r="G32" s="323"/>
      <c r="H32" s="323"/>
      <c r="I32" s="323"/>
      <c r="J32" s="323"/>
      <c r="K32" s="323"/>
      <c r="L32" s="323"/>
      <c r="M32" s="323"/>
      <c r="N32" s="323"/>
      <c r="O32" s="323"/>
      <c r="P32" s="323"/>
      <c r="Q32" s="323"/>
      <c r="R32" s="323"/>
    </row>
    <row r="33" spans="1:18" x14ac:dyDescent="0.2">
      <c r="A33" s="321"/>
      <c r="B33" s="321"/>
      <c r="C33" s="321"/>
      <c r="D33" s="321"/>
      <c r="E33" s="321"/>
      <c r="F33" s="322"/>
      <c r="G33" s="323"/>
      <c r="H33" s="323"/>
      <c r="I33" s="323"/>
      <c r="J33" s="323"/>
      <c r="K33" s="323"/>
      <c r="L33" s="323"/>
      <c r="M33" s="323"/>
      <c r="N33" s="323"/>
      <c r="O33" s="323"/>
      <c r="P33" s="323"/>
      <c r="Q33" s="323"/>
      <c r="R33" s="323"/>
    </row>
    <row r="34" spans="1:18" ht="15" x14ac:dyDescent="0.2">
      <c r="A34" s="590" t="s">
        <v>267</v>
      </c>
      <c r="B34" s="590"/>
      <c r="C34" s="590"/>
      <c r="D34" s="590" t="s">
        <v>49</v>
      </c>
      <c r="E34" s="590"/>
      <c r="F34" s="590"/>
      <c r="G34" s="323"/>
      <c r="H34" s="323"/>
      <c r="I34" s="323"/>
      <c r="J34" s="323"/>
      <c r="K34" s="323"/>
      <c r="L34" s="323"/>
      <c r="M34" s="323"/>
      <c r="N34" s="323"/>
      <c r="O34" s="323"/>
      <c r="P34" s="323"/>
      <c r="Q34" s="323"/>
      <c r="R34" s="323"/>
    </row>
    <row r="35" spans="1:18" ht="12.75" customHeight="1" x14ac:dyDescent="0.2">
      <c r="A35" s="202" t="s">
        <v>0</v>
      </c>
      <c r="B35" s="189"/>
      <c r="C35" s="65">
        <f>$F$13</f>
        <v>0</v>
      </c>
      <c r="D35" s="202" t="s">
        <v>0</v>
      </c>
      <c r="E35" s="193"/>
      <c r="F35" s="308">
        <f>IF(AND('Construction Cost Increase'!$F$7="",'Construction Cost Increase'!$G$7="",'Construction Cost Increase'!$H$7=""),ROUND(' Construction Cost'!$G$12/100*$C$35,0),IF(AND('Construction Cost Increase'!$F$7="yes",'Construction Cost Increase'!$G$7="",'Construction Cost Increase'!$H$7=""),MIN(ROUND(' Construction Cost'!$G$12/100*$C$35,0),'Construction Cost Increase'!$G$47),IF(AND('Construction Cost Increase'!$F$7="no",'Construction Cost Increase'!$G$7="",'Construction Cost Increase'!$H$7="",'Construction Cost Increase'!$F$12&gt;=$C$35),MIN(ROUND('Construction Cost Increase'!$B$12*' Construction Cost'!$G$12/100,0),'Construction Cost Increase'!$G$47),IF(AND('Construction Cost Increase'!$F$7="no",'Construction Cost Increase'!$G$7="",'Construction Cost Increase'!$H$7="",'Construction Cost Increase'!$F$12&lt;$C$35),ROUND(($C$35-'Construction Cost Increase'!$D$12)*' Construction Cost'!$G$12/100,0),IF(AND('Construction Cost Increase'!$F$7="yes",'Construction Cost Increase'!$G$7="yes",'Construction Cost Increase'!$H$7=""),MIN(ROUND(' Construction Cost'!$G$12/100*$C$35,0),'Construction Cost Increase'!$G$47),IF(AND('Construction Cost Increase'!$F$7="no",'Construction Cost Increase'!$G$7="no",'Construction Cost Increase'!$H$7="",'Construction Cost Increase'!$F$22&gt;=$C$35),MIN(ROUND('Construction Cost Increase'!$B$12*' Construction Cost'!$G$12/100,0),'Construction Cost Increase'!$G$47),IF(AND('Construction Cost Increase'!$F$7="no",'Construction Cost Increase'!$G$7="no",'Construction Cost Increase'!$H$7="",'Construction Cost Increase'!$F$22&lt;$C$35),ROUND(($C$35-'Construction Cost Increase'!$D$12-'Construction Cost Increase'!$D$22)*' Construction Cost'!$G$12/100,0),IF(AND('Construction Cost Increase'!$F$7="yes",'Construction Cost Increase'!$G$7="no",'Construction Cost Increase'!$H$7="",'Construction Cost Increase'!$F$22&gt;=$C$35),MIN(ROUND('Construction Cost Increase'!$B$22*' Construction Cost'!$G$12/100,0),'Construction Cost Increase'!$G$47),IF(AND('Construction Cost Increase'!$F$7="yes",'Construction Cost Increase'!$G$7="no",'Construction Cost Increase'!$H$7="",'Construction Cost Increase'!$F$22&lt;$C$35),ROUND(($C$35-'Construction Cost Increase'!$D$22)*' Construction Cost'!$G$12/100,0),IF(AND('Construction Cost Increase'!$F$7="no",'Construction Cost Increase'!$G$7="yes",'Construction Cost Increase'!$H$7="",'Construction Cost Increase'!$F$22&gt;=$C$35),MIN(ROUND(('Construction Cost Increase'!$F$22-'Construction Cost Increase'!$D$12)*' Construction Cost'!$G$12/100,0),'Construction Cost Increase'!$G$47),IF(AND('Construction Cost Increase'!$F$7="no",'Construction Cost Increase'!$G$7="yes",'Construction Cost Increase'!$H$7="",'Construction Cost Increase'!$F$22&lt;$C$35),ROUND(($C$35-'Construction Cost Increase'!$D$12)*' Construction Cost'!$G$12/100,0),IF(AND('Construction Cost Increase'!$F$7="yes",'Construction Cost Increase'!$G$7="yes",'Construction Cost Increase'!$H$7="yes"),MIN(ROUND(' Construction Cost'!$G$12/100*$C$35,0),'Construction Cost Increase'!$G$47),IF(AND('Construction Cost Increase'!$F$7="no",'Construction Cost Increase'!$G$7="no",'Construction Cost Increase'!$H$7="no",'Construction Cost Increase'!$F$32&gt;=$C$35),MIN(ROUND('Construction Cost Increase'!$B$12*' Construction Cost'!$G$12/100,0),'Construction Cost Increase'!$G$47),IF(AND('Construction Cost Increase'!$F$7="no",'Construction Cost Increase'!$G$7="no",'Construction Cost Increase'!$H$7="no",'Construction Cost Increase'!$F$32&lt;$C$35),ROUND(($C$35-'Construction Cost Increase'!$D$12-'Construction Cost Increase'!$D$22-'Construction Cost Increase'!$D$32)*' Construction Cost'!$G$12/100,0),IF(AND('Construction Cost Increase'!$F$7="yes",'Construction Cost Increase'!$G$7="yes",'Construction Cost Increase'!$H$7="no",'Construction Cost Increase'!$F$32&gt;=$C$35),MIN(ROUND('Construction Cost Increase'!$B$32*' Construction Cost'!$G$12/100,0),'Construction Cost Increase'!$G$47),IF(AND('Construction Cost Increase'!$F$7="yes",'Construction Cost Increase'!$G$7="yes",'Construction Cost Increase'!$H$7="no",'Construction Cost Increase'!$F$32&lt;$C$35),ROUND(($C$35-'Construction Cost Increase'!$D$32)*' Construction Cost'!$G$12/100,0),IF(AND('Construction Cost Increase'!$F$7="yes",'Construction Cost Increase'!$G$7="no",'Construction Cost Increase'!$H$7="yes",'Construction Cost Increase'!$F$32&gt;=$C$35),MIN(ROUND(('Construction Cost Increase'!$B$22+'Construction Cost Increase'!$D$32)*' Construction Cost'!$G$12/100,0),'Construction Cost Increase'!$G$47),IF(AND('Construction Cost Increase'!$F$7="yes",'Construction Cost Increase'!$G$7="no",'Construction Cost Increase'!$H$7="yes",'Construction Cost Increase'!$F$32&lt;$C$35),ROUND(($C$35-'Construction Cost Increase'!$D$22)*' Construction Cost'!$G$12/100,0),IF(AND('Construction Cost Increase'!$F$7="yes",'Construction Cost Increase'!$G$7="no",'Construction Cost Increase'!$H$7="no",'Construction Cost Increase'!$F$32&gt;=$C$35),MIN(ROUND('Construction Cost Increase'!$B$22*' Construction Cost'!$G$12/100,0),'Construction Cost Increase'!$G$47),IF(AND('Construction Cost Increase'!$F$7="yes",'Construction Cost Increase'!$G$7="no",'Construction Cost Increase'!$H$7="no",'Construction Cost Increase'!$F$32&lt;$C$35),ROUND(($C$35-'Construction Cost Increase'!$D$22-'Construction Cost Increase'!$D$32)*' Construction Cost'!$G$12/100,0),IF(AND('Construction Cost Increase'!$F$7="no",'Construction Cost Increase'!$G$7="yes",'Construction Cost Increase'!$H$7="yes",'Construction Cost Increase'!$F$32&gt;=$C$35),MIN(ROUND(('Construction Cost Increase'!$B$12+'Construction Cost Increase'!$D$22+'Construction Cost Increase'!$D$32)*' Construction Cost'!$G$12/100,0),'Construction Cost Increase'!$G$47),IF(AND('Construction Cost Increase'!$F$7="no",'Construction Cost Increase'!$G$7="yes",'Construction Cost Increase'!$H$7="yes",'Construction Cost Increase'!$F$32&lt;$C$35),ROUND(($C$35-'Construction Cost Increase'!$D$12)*' Construction Cost'!$G$12/100,0),IF(AND('Construction Cost Increase'!$F$7="no",'Construction Cost Increase'!$G$7="no",'Construction Cost Increase'!$H$7="yes",'Construction Cost Increase'!$F$32&gt;=$C$35),MIN(ROUND(('Construction Cost Increase'!$B$12+'Construction Cost Increase'!$D$32)*' Construction Cost'!$G$12/100,0),'Construction Cost Increase'!$G$47),IF(AND('Construction Cost Increase'!$F$7="no",'Construction Cost Increase'!$G$7="no",'Construction Cost Increase'!$H$7="yes",'Construction Cost Increase'!$F$32&lt;$C$35),ROUND(($C$35-'Construction Cost Increase'!$D$12-'Construction Cost Increase'!$D$22)*' Construction Cost'!$G$12/100,0),IF(AND('Construction Cost Increase'!$F$7="no",'Construction Cost Increase'!$G$7="yes",'Construction Cost Increase'!$H$7="no",'Construction Cost Increase'!$F$32&gt;=$C$35),MIN(ROUND(('Construction Cost Increase'!$B$12+'Construction Cost Increase'!$D$22)*' Construction Cost'!$G$12/100,0),'Construction Cost Increase'!$G$47),IF(AND('Construction Cost Increase'!$F$7="no",'Construction Cost Increase'!$G$7="yes",'Construction Cost Increase'!$H$7="no",'Construction Cost Increase'!$F$32&lt;$C$35),ROUND(($C$35-'Construction Cost Increase'!$D$12-'Construction Cost Increase'!$D$32)*' Construction Cost'!$G$12/100,0),0))))))))))))))))))))))))))</f>
        <v>0</v>
      </c>
      <c r="G35" s="323"/>
      <c r="H35" s="323"/>
      <c r="I35" s="323"/>
      <c r="J35" s="323"/>
      <c r="K35" s="323"/>
      <c r="L35" s="323"/>
      <c r="M35" s="323"/>
      <c r="N35" s="323"/>
      <c r="O35" s="323"/>
      <c r="P35" s="323"/>
      <c r="Q35" s="323"/>
      <c r="R35" s="323"/>
    </row>
    <row r="36" spans="1:18" x14ac:dyDescent="0.2">
      <c r="A36" s="190" t="s">
        <v>1</v>
      </c>
      <c r="B36" s="189"/>
      <c r="C36" s="65">
        <f>$F$14</f>
        <v>0</v>
      </c>
      <c r="D36" s="202" t="s">
        <v>1</v>
      </c>
      <c r="E36" s="193"/>
      <c r="F36" s="308">
        <f>IF(AND('Construction Cost Increase'!$F$7="",'Construction Cost Increase'!$G$7="",'Construction Cost Increase'!$H$7=""),ROUND(' Construction Cost'!$G$12/100*$C$36,0),IF(AND('Construction Cost Increase'!$F$7="yes",'Construction Cost Increase'!$G$7="",'Construction Cost Increase'!$H$7=""),MIN(ROUND(' Construction Cost'!$G$12/100*$C$36,0),'Construction Cost Increase'!$G$47),IF(AND('Construction Cost Increase'!$F$7="no",'Construction Cost Increase'!$G$7="",'Construction Cost Increase'!$H$7="",'Construction Cost Increase'!$F$13&gt;=$C$36),MIN(ROUND('Construction Cost Increase'!$B$13*' Construction Cost'!$G$12/100,0),'Construction Cost Increase'!$G$47),IF(AND('Construction Cost Increase'!$F$7="no",'Construction Cost Increase'!$G$7="",'Construction Cost Increase'!$H$7="",'Construction Cost Increase'!$F$13&lt;$C$36),ROUND(($C$36-'Construction Cost Increase'!$D$13)*' Construction Cost'!$G$12/100,0),IF(AND('Construction Cost Increase'!$F$7="yes",'Construction Cost Increase'!$G$7="yes",'Construction Cost Increase'!$H$7=""),MIN(ROUND(' Construction Cost'!$G$12/100*$C$36,0),'Construction Cost Increase'!$G$47),IF(AND('Construction Cost Increase'!$F$7="no",'Construction Cost Increase'!$G$7="no",'Construction Cost Increase'!$H$7="",'Construction Cost Increase'!$F$23&gt;=$C$36),MIN(ROUND('Construction Cost Increase'!$B$13*' Construction Cost'!$G$12/100,0),'Construction Cost Increase'!$G$47),IF(AND('Construction Cost Increase'!$F$7="no",'Construction Cost Increase'!$G$7="no",'Construction Cost Increase'!$H$7="",'Construction Cost Increase'!$F$23&lt;$C$36),ROUND(($C$36-'Construction Cost Increase'!$D$13-'Construction Cost Increase'!$D$23)*' Construction Cost'!$G$12/100,0),IF(AND('Construction Cost Increase'!$F$7="yes",'Construction Cost Increase'!$G$7="no",'Construction Cost Increase'!$H$7="",'Construction Cost Increase'!$F$23&gt;=$C$36),MIN(ROUND('Construction Cost Increase'!$B$23*' Construction Cost'!$G$12/100,0),'Construction Cost Increase'!$G$47),IF(AND('Construction Cost Increase'!$F$7="yes",'Construction Cost Increase'!$G$7="no",'Construction Cost Increase'!$H$7="",'Construction Cost Increase'!$F$23&lt;$C$36),ROUND(($C$36-'Construction Cost Increase'!$D$23)*' Construction Cost'!$G$12/100,0),IF(AND('Construction Cost Increase'!$F$7="no",'Construction Cost Increase'!$G$7="yes",'Construction Cost Increase'!$H$7="",'Construction Cost Increase'!$F$23&gt;=$C$36),MIN(ROUND(('Construction Cost Increase'!$F$23-'Construction Cost Increase'!$D$13)*' Construction Cost'!$G$12/100,0),'Construction Cost Increase'!$G$47),IF(AND('Construction Cost Increase'!$F$7="no",'Construction Cost Increase'!$G$7="yes",'Construction Cost Increase'!$H$7="",'Construction Cost Increase'!$F$23&lt;$C$36),ROUND(($C$36-'Construction Cost Increase'!$D$13)*' Construction Cost'!$G$12/100,0),IF(AND('Construction Cost Increase'!$F$7="yes",'Construction Cost Increase'!$G$7="yes",'Construction Cost Increase'!$H$7="yes"),MIN(ROUND(' Construction Cost'!$G$12/100*$C$36,0),'Construction Cost Increase'!$G$47),IF(AND('Construction Cost Increase'!$F$7="no",'Construction Cost Increase'!$G$7="no",'Construction Cost Increase'!$H$7="no",'Construction Cost Increase'!$F$33&gt;=$C$36),MIN(ROUND('Construction Cost Increase'!$B$13*' Construction Cost'!$G$12/100,0),'Construction Cost Increase'!$G$47),IF(AND('Construction Cost Increase'!$F$7="no",'Construction Cost Increase'!$G$7="no",'Construction Cost Increase'!$H$7="no",'Construction Cost Increase'!$F$33&lt;$C$36),ROUND(($C$36-'Construction Cost Increase'!$D$13-'Construction Cost Increase'!$D$23-'Construction Cost Increase'!$D$33)*' Construction Cost'!$G$12/100,0),IF(AND('Construction Cost Increase'!$F$7="yes",'Construction Cost Increase'!$G$7="yes",'Construction Cost Increase'!$H$7="no",'Construction Cost Increase'!$F$33&gt;=$C$36),MIN(ROUND('Construction Cost Increase'!$B$33*' Construction Cost'!$G$12/100,0),'Construction Cost Increase'!$G$47),IF(AND('Construction Cost Increase'!$F$7="yes",'Construction Cost Increase'!$G$7="yes",'Construction Cost Increase'!$H$7="no",'Construction Cost Increase'!$F$33&lt;$C$36),ROUND(($C$36-'Construction Cost Increase'!$D$33)*' Construction Cost'!$G$12/100,0),IF(AND('Construction Cost Increase'!$F$7="yes",'Construction Cost Increase'!$G$7="no",'Construction Cost Increase'!$H$7="yes",'Construction Cost Increase'!$F$33&gt;=$C$36),MIN(ROUND(('Construction Cost Increase'!$B$23+'Construction Cost Increase'!$D$33)*' Construction Cost'!$G$12/100,0),'Construction Cost Increase'!$G$47),IF(AND('Construction Cost Increase'!$F$7="yes",'Construction Cost Increase'!$G$7="no",'Construction Cost Increase'!$H$7="yes",'Construction Cost Increase'!$F$33&lt;$C$36),ROUND(($C$36-'Construction Cost Increase'!$D$23)*' Construction Cost'!$G$12/100,0),IF(AND('Construction Cost Increase'!$F$7="yes",'Construction Cost Increase'!$G$7="no",'Construction Cost Increase'!$H$7="no",'Construction Cost Increase'!$F$33&gt;=$C$36),MIN(ROUND('Construction Cost Increase'!$B$23*' Construction Cost'!$G$12/100,0),'Construction Cost Increase'!$G$47),IF(AND('Construction Cost Increase'!$F$7="yes",'Construction Cost Increase'!$G$7="no",'Construction Cost Increase'!$H$7="no",'Construction Cost Increase'!$F$33&lt;$C$36),ROUND(($C$36-'Construction Cost Increase'!$D$23-'Construction Cost Increase'!$D$33)*' Construction Cost'!$G$12/100,0),IF(AND('Construction Cost Increase'!$F$7="no",'Construction Cost Increase'!$G$7="yes",'Construction Cost Increase'!$H$7="yes",'Construction Cost Increase'!$F$33&gt;=$C$36),MIN(ROUND(('Construction Cost Increase'!$B$13+'Construction Cost Increase'!$D$23+'Construction Cost Increase'!$D$33)*' Construction Cost'!$G$12/100,0),'Construction Cost Increase'!$G$47),IF(AND('Construction Cost Increase'!$F$7="no",'Construction Cost Increase'!$G$7="yes",'Construction Cost Increase'!$H$7="yes",'Construction Cost Increase'!$F$33&lt;$C$36),ROUND(($C$36-'Construction Cost Increase'!$D$13)*' Construction Cost'!$G$12/100,0),IF(AND('Construction Cost Increase'!$F$7="no",'Construction Cost Increase'!$G$7="no",'Construction Cost Increase'!$H$7="yes",'Construction Cost Increase'!$F$33&gt;=$C$36),MIN(ROUND(('Construction Cost Increase'!$B$13+'Construction Cost Increase'!$D$33)*' Construction Cost'!$G$12/100,0),'Construction Cost Increase'!$G$47),IF(AND('Construction Cost Increase'!$F$7="no",'Construction Cost Increase'!$G$7="no",'Construction Cost Increase'!$H$7="yes",'Construction Cost Increase'!$F$33&lt;$C$36),ROUND(($C$36-'Construction Cost Increase'!$D$13-'Construction Cost Increase'!$D$23)*' Construction Cost'!$G$12/100,0),IF(AND('Construction Cost Increase'!$F$7="no",'Construction Cost Increase'!$G$7="yes",'Construction Cost Increase'!$H$7="no",'Construction Cost Increase'!$F$33&gt;=$C$36),MIN(ROUND(('Construction Cost Increase'!$B$13+'Construction Cost Increase'!$D$23)*' Construction Cost'!$G$12/100,0),'Construction Cost Increase'!$G$47),IF(AND('Construction Cost Increase'!$F$7="no",'Construction Cost Increase'!$G$7="yes",'Construction Cost Increase'!$H$7="no",'Construction Cost Increase'!$F$33&lt;$C$36),ROUND(($C$36-'Construction Cost Increase'!$D$13-'Construction Cost Increase'!$D$33)*' Construction Cost'!$G$12/100,0),0))))))))))))))))))))))))))</f>
        <v>0</v>
      </c>
      <c r="G36" s="323"/>
      <c r="H36" s="323"/>
      <c r="I36" s="323"/>
      <c r="J36" s="323"/>
      <c r="K36" s="323"/>
      <c r="L36" s="323"/>
      <c r="M36" s="323"/>
      <c r="N36" s="323"/>
      <c r="O36" s="323"/>
      <c r="P36" s="323"/>
      <c r="Q36" s="323"/>
      <c r="R36" s="323"/>
    </row>
    <row r="37" spans="1:18" x14ac:dyDescent="0.2">
      <c r="A37" s="190" t="s">
        <v>3</v>
      </c>
      <c r="B37" s="189"/>
      <c r="C37" s="65">
        <f>$F$21</f>
        <v>0</v>
      </c>
      <c r="D37" s="202" t="s">
        <v>3</v>
      </c>
      <c r="E37" s="193"/>
      <c r="F37" s="308">
        <f>IF(AND('Construction Cost Increase'!$F$7="",'Construction Cost Increase'!$G$7="",'Construction Cost Increase'!$H$7=""),ROUND(' Construction Cost'!$G$12/100*$C$37,0),IF(AND('Construction Cost Increase'!$F$7="yes",'Construction Cost Increase'!$G$7="",'Construction Cost Increase'!$H$7=""),MIN(ROUND(' Construction Cost'!$G$12/100*$C$37,0),'Construction Cost Increase'!$G$47),IF(AND('Construction Cost Increase'!$F$7="no",'Construction Cost Increase'!$G$7="",'Construction Cost Increase'!$H$7="",'Construction Cost Increase'!$F$14&gt;=$C$37),MIN(ROUND('Construction Cost Increase'!$B$14*' Construction Cost'!$G$12/100,0),'Construction Cost Increase'!$G$47),IF(AND('Construction Cost Increase'!$F$7="no",'Construction Cost Increase'!$G$7="",'Construction Cost Increase'!$H$7="",'Construction Cost Increase'!$F$14&lt;$C$37),ROUND(($C$37-'Construction Cost Increase'!$D$14)*' Construction Cost'!$G$12/100,0),IF(AND('Construction Cost Increase'!$F$7="yes",'Construction Cost Increase'!$G$7="yes",'Construction Cost Increase'!$H$7=""),MIN(ROUND(' Construction Cost'!$G$12/100*$C$37,0),'Construction Cost Increase'!$G$47),IF(AND('Construction Cost Increase'!$F$7="no",'Construction Cost Increase'!$G$7="no",'Construction Cost Increase'!$H$7="",'Construction Cost Increase'!$F$24&gt;=$C$37),MIN(ROUND('Construction Cost Increase'!$B$14*' Construction Cost'!$G$12/100,0),'Construction Cost Increase'!$G$47),IF(AND('Construction Cost Increase'!$F$7="no",'Construction Cost Increase'!$G$7="no",'Construction Cost Increase'!$H$7="",'Construction Cost Increase'!$F$24&lt;$C$37),ROUND(($C$37-'Construction Cost Increase'!$D$14-'Construction Cost Increase'!$D$24)*' Construction Cost'!$G$12/100,0),IF(AND('Construction Cost Increase'!$F$7="yes",'Construction Cost Increase'!$G$7="no",'Construction Cost Increase'!$H$7="",'Construction Cost Increase'!$F$24&gt;=$C$37),MIN(ROUND('Construction Cost Increase'!$B$24*' Construction Cost'!$G$12/100,0),'Construction Cost Increase'!$G$47),IF(AND('Construction Cost Increase'!$F$7="yes",'Construction Cost Increase'!$G$7="no",'Construction Cost Increase'!$H$7="",'Construction Cost Increase'!$F$24&lt;$C$37),ROUND(($C$37-'Construction Cost Increase'!$D$24)*' Construction Cost'!$G$12/100,0),IF(AND('Construction Cost Increase'!$F$7="no",'Construction Cost Increase'!$G$7="yes",'Construction Cost Increase'!$H$7="",'Construction Cost Increase'!$F$24&gt;=$C$37),MIN(ROUND(('Construction Cost Increase'!$F$24-'Construction Cost Increase'!$D$14)*' Construction Cost'!$G$12/100,0),'Construction Cost Increase'!$G$47),IF(AND('Construction Cost Increase'!$F$7="no",'Construction Cost Increase'!$G$7="yes",'Construction Cost Increase'!$H$7="",'Construction Cost Increase'!$F$24&lt;$C$37),ROUND(($C$37-'Construction Cost Increase'!$D$14)*' Construction Cost'!$G$12/100,0),IF(AND('Construction Cost Increase'!$F$7="yes",'Construction Cost Increase'!$G$7="yes",'Construction Cost Increase'!$H$7="yes"),MIN(ROUND(' Construction Cost'!$G$12/100*$C$37,0),'Construction Cost Increase'!$G$47),IF(AND('Construction Cost Increase'!$F$7="no",'Construction Cost Increase'!$G$7="no",'Construction Cost Increase'!$H$7="no",'Construction Cost Increase'!$F$34&gt;=$C$37),MIN(ROUND('Construction Cost Increase'!$B$14*' Construction Cost'!$G$12/100,0),'Construction Cost Increase'!$G$47),IF(AND('Construction Cost Increase'!$F$7="no",'Construction Cost Increase'!$G$7="no",'Construction Cost Increase'!$H$7="no",'Construction Cost Increase'!$F$34&lt;$C$37),ROUND(($C$37-'Construction Cost Increase'!$D$14-'Construction Cost Increase'!$D$24-'Construction Cost Increase'!$D$34)*' Construction Cost'!$G$12/100,0),IF(AND('Construction Cost Increase'!$F$7="yes",'Construction Cost Increase'!$G$7="yes",'Construction Cost Increase'!$H$7="no",'Construction Cost Increase'!$F$34&gt;=$C$37),MIN(ROUND('Construction Cost Increase'!$B$34*' Construction Cost'!$G$12/100,0),'Construction Cost Increase'!$G$47),IF(AND('Construction Cost Increase'!$F$7="yes",'Construction Cost Increase'!$G$7="yes",'Construction Cost Increase'!$H$7="no",'Construction Cost Increase'!$F$34&lt;$C$37),ROUND(($C$37-'Construction Cost Increase'!$D$34)*' Construction Cost'!$G$12/100,0),IF(AND('Construction Cost Increase'!$F$7="yes",'Construction Cost Increase'!$G$7="no",'Construction Cost Increase'!$H$7="yes",'Construction Cost Increase'!$F$34&gt;=$C$37),MIN(ROUND(('Construction Cost Increase'!$B$24+'Construction Cost Increase'!$D$34)*' Construction Cost'!$G$12/100,0),'Construction Cost Increase'!$G$47),IF(AND('Construction Cost Increase'!$F$7="yes",'Construction Cost Increase'!$G$7="no",'Construction Cost Increase'!$H$7="yes",'Construction Cost Increase'!$F$34&lt;$C$37),ROUND(($C$37-'Construction Cost Increase'!$D$24)*' Construction Cost'!$G$12/100,0),IF(AND('Construction Cost Increase'!$F$7="yes",'Construction Cost Increase'!$G$7="no",'Construction Cost Increase'!$H$7="no",'Construction Cost Increase'!$F$34&gt;=$C$37),MIN(ROUND('Construction Cost Increase'!$B$24*' Construction Cost'!$G$12/100,0),'Construction Cost Increase'!$G$47),IF(AND('Construction Cost Increase'!$F$7="yes",'Construction Cost Increase'!$G$7="no",'Construction Cost Increase'!$H$7="no",'Construction Cost Increase'!$F$34&lt;$C$37),ROUND(($C$37-'Construction Cost Increase'!$D$24-'Construction Cost Increase'!$D$34)*' Construction Cost'!$G$12/100,0),IF(AND('Construction Cost Increase'!$F$7="no",'Construction Cost Increase'!$G$7="yes",'Construction Cost Increase'!$H$7="yes",'Construction Cost Increase'!$F$34&gt;=$C$37),MIN(ROUND(('Construction Cost Increase'!$B$14+'Construction Cost Increase'!$D$24+'Construction Cost Increase'!$D$34)*' Construction Cost'!$G$12/100,0),'Construction Cost Increase'!$G$47),IF(AND('Construction Cost Increase'!$F$7="no",'Construction Cost Increase'!$G$7="yes",'Construction Cost Increase'!$H$7="yes",'Construction Cost Increase'!$F$34&lt;$C$37),ROUND(($C$37-'Construction Cost Increase'!$D$14)*' Construction Cost'!$G$12/100,0),IF(AND('Construction Cost Increase'!$F$7="no",'Construction Cost Increase'!$G$7="no",'Construction Cost Increase'!$H$7="yes",'Construction Cost Increase'!$F$34&gt;=$C$37),MIN(ROUND(('Construction Cost Increase'!$B$14+'Construction Cost Increase'!$D$34)*' Construction Cost'!$G$12/100,0),'Construction Cost Increase'!$G$47),IF(AND('Construction Cost Increase'!$F$7="no",'Construction Cost Increase'!$G$7="no",'Construction Cost Increase'!$H$7="yes",'Construction Cost Increase'!$F$34&lt;$C$37),ROUND(($C$37-'Construction Cost Increase'!$D$14-'Construction Cost Increase'!$D$24)*' Construction Cost'!$G$12/100,0),IF(AND('Construction Cost Increase'!$F$7="no",'Construction Cost Increase'!$G$7="yes",'Construction Cost Increase'!$H$7="no",'Construction Cost Increase'!$F$34&gt;=$C$37),MIN(ROUND(('Construction Cost Increase'!$B$14+'Construction Cost Increase'!$D$24)*' Construction Cost'!$G$12/100,0),'Construction Cost Increase'!$G$47),IF(AND('Construction Cost Increase'!$F$7="no",'Construction Cost Increase'!$G$7="yes",'Construction Cost Increase'!$H$7="no",'Construction Cost Increase'!$F$34&lt;$C$37),ROUND(($C$37-'Construction Cost Increase'!$D$14-'Construction Cost Increase'!$D$34)*' Construction Cost'!$G$12/100,0),0))))))))))))))))))))))))))</f>
        <v>0</v>
      </c>
      <c r="G37" s="323"/>
      <c r="H37" s="323"/>
      <c r="I37" s="323"/>
      <c r="J37" s="323"/>
      <c r="K37" s="323"/>
      <c r="L37" s="323"/>
      <c r="M37" s="323"/>
      <c r="N37" s="323"/>
      <c r="O37" s="323"/>
      <c r="P37" s="323"/>
      <c r="Q37" s="323"/>
      <c r="R37" s="323"/>
    </row>
    <row r="38" spans="1:18" x14ac:dyDescent="0.2">
      <c r="A38" s="190" t="s">
        <v>89</v>
      </c>
      <c r="B38" s="189"/>
      <c r="C38" s="65">
        <f>$E$27</f>
        <v>0</v>
      </c>
      <c r="D38" s="190" t="s">
        <v>207</v>
      </c>
      <c r="E38" s="193"/>
      <c r="F38" s="308">
        <f>IF(AND('Construction Cost Increase'!$F$7="",'Construction Cost Increase'!$G$7="",'Construction Cost Increase'!$H$7=""),ROUND(' Construction Cost'!$G$12/100*$C$38,0),IF(AND('Construction Cost Increase'!$F$7="yes",'Construction Cost Increase'!$G$7="",'Construction Cost Increase'!$H$7=""),MIN(ROUND(' Construction Cost'!$G$12/100*$C$38,0),'Construction Cost Increase'!$G$47),IF(AND('Construction Cost Increase'!$F$7="no",'Construction Cost Increase'!$G$7="",'Construction Cost Increase'!$H$7="",'Construction Cost Increase'!$F$15&gt;=$C$38),MIN(ROUND('Construction Cost Increase'!$B$15*' Construction Cost'!$G$12/100,0),'Construction Cost Increase'!$G$47),IF(AND('Construction Cost Increase'!$F$7="no",'Construction Cost Increase'!$G$7="",'Construction Cost Increase'!$H$7="",'Construction Cost Increase'!$F$15&lt;$C$38),ROUND(($C$38-'Construction Cost Increase'!$D$15)*' Construction Cost'!$G$12/100,0),IF(AND('Construction Cost Increase'!$F$7="yes",'Construction Cost Increase'!$G$7="yes",'Construction Cost Increase'!$H$7=""),MIN(ROUND(' Construction Cost'!$G$12/100*$C$38,0),'Construction Cost Increase'!$G$47),IF(AND('Construction Cost Increase'!$F$7="no",'Construction Cost Increase'!$G$7="no",'Construction Cost Increase'!$H$7="",'Construction Cost Increase'!$F$25&gt;=$C$38),MIN(ROUND('Construction Cost Increase'!$B$15*' Construction Cost'!$G$12/100,0),'Construction Cost Increase'!$G$47),IF(AND('Construction Cost Increase'!$F$7="no",'Construction Cost Increase'!$G$7="no",'Construction Cost Increase'!$H$7="",'Construction Cost Increase'!$F$25&lt;$C$38),ROUND(($C$38-'Construction Cost Increase'!$D$15-'Construction Cost Increase'!$D$25)*' Construction Cost'!$G$12/100,0),IF(AND('Construction Cost Increase'!$F$7="yes",'Construction Cost Increase'!$G$7="no",'Construction Cost Increase'!$H$7="",'Construction Cost Increase'!$F$25&gt;=$C$38),MIN(ROUND('Construction Cost Increase'!$B$25*' Construction Cost'!$G$12/100,0),'Construction Cost Increase'!$G$47),IF(AND('Construction Cost Increase'!$F$7="yes",'Construction Cost Increase'!$G$7="no",'Construction Cost Increase'!$H$7="",'Construction Cost Increase'!$F$25&lt;$C$38),ROUND(($C$38-'Construction Cost Increase'!$D$25)*' Construction Cost'!$G$12/100,0),IF(AND('Construction Cost Increase'!$F$7="no",'Construction Cost Increase'!$G$7="yes",'Construction Cost Increase'!$H$7="",'Construction Cost Increase'!$F$25&gt;=$C$38),MIN(ROUND(('Construction Cost Increase'!$F$25-'Construction Cost Increase'!$D$15)*' Construction Cost'!$G$12/100,0),'Construction Cost Increase'!$G$47),IF(AND('Construction Cost Increase'!$F$7="no",'Construction Cost Increase'!$G$7="yes",'Construction Cost Increase'!$H$7="",'Construction Cost Increase'!$F$25&lt;$C$38),ROUND(($C$38-'Construction Cost Increase'!$D$15)*' Construction Cost'!$G$12/100,0),IF(AND('Construction Cost Increase'!$F$7="yes",'Construction Cost Increase'!$G$7="yes",'Construction Cost Increase'!$H$7="yes"),MIN(ROUND(' Construction Cost'!$G$12/100*$C$38,0),'Construction Cost Increase'!$G$47),IF(AND('Construction Cost Increase'!$F$7="no",'Construction Cost Increase'!$G$7="no",'Construction Cost Increase'!$H$7="no",'Construction Cost Increase'!$F$35&gt;=$C$38),MIN(ROUND('Construction Cost Increase'!$B$15*' Construction Cost'!$G$12/100,0),'Construction Cost Increase'!$G$47),IF(AND('Construction Cost Increase'!$F$7="no",'Construction Cost Increase'!$G$7="no",'Construction Cost Increase'!$H$7="no",'Construction Cost Increase'!$F$35&lt;$C$38),ROUND(($C$38-'Construction Cost Increase'!$D$15-'Construction Cost Increase'!$D$25-'Construction Cost Increase'!$D$35)*' Construction Cost'!$G$12/100,0),IF(AND('Construction Cost Increase'!$F$7="yes",'Construction Cost Increase'!$G$7="yes",'Construction Cost Increase'!$H$7="no",'Construction Cost Increase'!$F$35&gt;=$C$38),MIN(ROUND('Construction Cost Increase'!$B$35*' Construction Cost'!$G$12/100,0),'Construction Cost Increase'!$G$47),IF(AND('Construction Cost Increase'!$F$7="yes",'Construction Cost Increase'!$G$7="yes",'Construction Cost Increase'!$H$7="no",'Construction Cost Increase'!$F$35&lt;$C$38),ROUND(($C$38-'Construction Cost Increase'!$D$35)*' Construction Cost'!$G$12/100,0),IF(AND('Construction Cost Increase'!$F$7="yes",'Construction Cost Increase'!$G$7="no",'Construction Cost Increase'!$H$7="yes",'Construction Cost Increase'!$F$35&gt;=$C$38),MIN(ROUND(('Construction Cost Increase'!$B$25+'Construction Cost Increase'!$D$35)*' Construction Cost'!$G$12/100,0),'Construction Cost Increase'!$G$47),IF(AND('Construction Cost Increase'!$F$7="yes",'Construction Cost Increase'!$G$7="no",'Construction Cost Increase'!$H$7="yes",'Construction Cost Increase'!$F$35&lt;$C$38),ROUND(($C$38-'Construction Cost Increase'!$D$25)*' Construction Cost'!$G$12/100,0),IF(AND('Construction Cost Increase'!$F$7="yes",'Construction Cost Increase'!$G$7="no",'Construction Cost Increase'!$H$7="no",'Construction Cost Increase'!$F$35&gt;=$C$38),MIN(ROUND('Construction Cost Increase'!$B$25*' Construction Cost'!$G$12/100,0),'Construction Cost Increase'!$G$47),IF(AND('Construction Cost Increase'!$F$7="yes",'Construction Cost Increase'!$G$7="no",'Construction Cost Increase'!$H$7="no",'Construction Cost Increase'!$F$35&lt;$C$38),ROUND(($C$38-'Construction Cost Increase'!$D$25-'Construction Cost Increase'!$D$35)*' Construction Cost'!$G$12/100,0),IF(AND('Construction Cost Increase'!$F$7="no",'Construction Cost Increase'!$G$7="yes",'Construction Cost Increase'!$H$7="yes",'Construction Cost Increase'!$F$35&gt;=$C$38),MIN(ROUND(('Construction Cost Increase'!$B$15+'Construction Cost Increase'!$D$25+'Construction Cost Increase'!$D$35)*' Construction Cost'!$G$12/100,0),'Construction Cost Increase'!$G$47),IF(AND('Construction Cost Increase'!$F$7="no",'Construction Cost Increase'!$G$7="yes",'Construction Cost Increase'!$H$7="yes",'Construction Cost Increase'!$F$35&lt;$C$38),ROUND(($C$38-'Construction Cost Increase'!$D$15)*' Construction Cost'!$G$12/100,0),IF(AND('Construction Cost Increase'!$F$7="no",'Construction Cost Increase'!$G$7="no",'Construction Cost Increase'!$H$7="yes",'Construction Cost Increase'!$F$35&gt;=$C$38),MIN(ROUND(('Construction Cost Increase'!$B$15+'Construction Cost Increase'!$D$35)*' Construction Cost'!$G$12/100,0),'Construction Cost Increase'!$G$47),IF(AND('Construction Cost Increase'!$F$7="no",'Construction Cost Increase'!$G$7="no",'Construction Cost Increase'!$H$7="yes",'Construction Cost Increase'!$F$35&lt;$C$38),ROUND(($C$38-'Construction Cost Increase'!$D$15-'Construction Cost Increase'!$D$25)*' Construction Cost'!$G$12/100,0),IF(AND('Construction Cost Increase'!$F$7="no",'Construction Cost Increase'!$G$7="yes",'Construction Cost Increase'!$H$7="no",'Construction Cost Increase'!$F$35&gt;=$C$38),MIN(ROUND(('Construction Cost Increase'!$B$15+'Construction Cost Increase'!$D$25)*' Construction Cost'!$G$12/100,0),'Construction Cost Increase'!$G$47),IF(AND('Construction Cost Increase'!$F$7="no",'Construction Cost Increase'!$G$7="yes",'Construction Cost Increase'!$H$7="no",'Construction Cost Increase'!$F$35&lt;$C$38),ROUND(($C$38-'Construction Cost Increase'!$D$15-'Construction Cost Increase'!$D$35)*' Construction Cost'!$G$12/100,0),0))))))))))))))))))))))))))</f>
        <v>0</v>
      </c>
      <c r="G38" s="323"/>
      <c r="H38" s="323"/>
      <c r="I38" s="323"/>
      <c r="J38" s="323"/>
      <c r="K38" s="323"/>
      <c r="L38" s="323"/>
      <c r="M38" s="323"/>
      <c r="N38" s="323"/>
      <c r="O38" s="323"/>
      <c r="P38" s="323"/>
      <c r="Q38" s="323"/>
      <c r="R38" s="323"/>
    </row>
    <row r="39" spans="1:18" x14ac:dyDescent="0.2">
      <c r="A39" s="591" t="s">
        <v>288</v>
      </c>
      <c r="B39" s="592"/>
      <c r="C39" s="90">
        <f>$E$22</f>
        <v>0</v>
      </c>
      <c r="D39" s="316" t="s">
        <v>288</v>
      </c>
      <c r="E39" s="317"/>
      <c r="F39" s="309">
        <f>IF(AND('Construction Cost Increase'!$F$7="",'Construction Cost Increase'!$G$7="",'Construction Cost Increase'!$H$7=""),ROUND(' Construction Cost'!$G$12/100*$C$39,0),IF(AND('Construction Cost Increase'!$F$7="yes",'Construction Cost Increase'!$G$7="",'Construction Cost Increase'!$H$7=""),MIN(ROUND(' Construction Cost'!$G$12/100*$C$39,0),'Construction Cost Increase'!$G$47),IF(AND('Construction Cost Increase'!$F$7="no",'Construction Cost Increase'!$G$7="",'Construction Cost Increase'!$H$7="",'Construction Cost Increase'!$F$17&gt;=$C$39),MIN(ROUND('Construction Cost Increase'!$B$17*' Construction Cost'!$G$12/100,0),'Construction Cost Increase'!$G$47),IF(AND('Construction Cost Increase'!$F$7="no",'Construction Cost Increase'!$G$7="",'Construction Cost Increase'!$H$7="",'Construction Cost Increase'!$F$17&lt;$C$39),ROUND(($C$39-'Construction Cost Increase'!$D$17)*' Construction Cost'!$G$12/100,0),IF(AND('Construction Cost Increase'!$F$7="yes",'Construction Cost Increase'!$G$7="yes",'Construction Cost Increase'!$H$7=""),MIN(ROUND(' Construction Cost'!$G$12/100*$C$39,0),'Construction Cost Increase'!$G$47),IF(AND('Construction Cost Increase'!$F$7="no",'Construction Cost Increase'!$G$7="no",'Construction Cost Increase'!$H$7="",'Construction Cost Increase'!$F$27&gt;=$C$39),MIN(ROUND('Construction Cost Increase'!$B$17*' Construction Cost'!$G$12/100,0),'Construction Cost Increase'!$G$47),IF(AND('Construction Cost Increase'!$F$7="no",'Construction Cost Increase'!$G$7="no",'Construction Cost Increase'!$H$7="",'Construction Cost Increase'!$F$27&lt;$C$39),ROUND(($C$39-'Construction Cost Increase'!$D$17-'Construction Cost Increase'!$D$27)*' Construction Cost'!$G$12/100,0),IF(AND('Construction Cost Increase'!$F$7="yes",'Construction Cost Increase'!$G$7="no",'Construction Cost Increase'!$H$7="",'Construction Cost Increase'!$F$27&gt;=$C$39),MIN(ROUND('Construction Cost Increase'!$B$27*' Construction Cost'!$G$12/100,0),'Construction Cost Increase'!$G$47),IF(AND('Construction Cost Increase'!$F$7="yes",'Construction Cost Increase'!$G$7="no",'Construction Cost Increase'!$H$7="",'Construction Cost Increase'!$F$27&lt;$C$39),ROUND(($C$39-'Construction Cost Increase'!$D$27)*' Construction Cost'!$G$12/100,0),IF(AND('Construction Cost Increase'!$F$7="no",'Construction Cost Increase'!$G$7="yes",'Construction Cost Increase'!$H$7="",'Construction Cost Increase'!$F$27&gt;=$C$39),MIN(ROUND(('Construction Cost Increase'!$F$27-'Construction Cost Increase'!$D$17)*' Construction Cost'!$G$12/100,0),'Construction Cost Increase'!$G$47),IF(AND('Construction Cost Increase'!$F$7="no",'Construction Cost Increase'!$G$7="yes",'Construction Cost Increase'!$H$7="",'Construction Cost Increase'!$F$27&lt;$C$39),ROUND(($C$39-'Construction Cost Increase'!$D$17)*' Construction Cost'!$G$12/100,0),IF(AND('Construction Cost Increase'!$F$7="yes",'Construction Cost Increase'!$G$7="yes",'Construction Cost Increase'!$H$7="yes"),MIN(ROUND(' Construction Cost'!$G$12/100*$C$39,0),'Construction Cost Increase'!$G$47),IF(AND('Construction Cost Increase'!$F$7="no",'Construction Cost Increase'!$G$7="no",'Construction Cost Increase'!$H$7="no",'Construction Cost Increase'!$F$37&gt;=$C$39),MIN(ROUND('Construction Cost Increase'!$B$17*' Construction Cost'!$G$12/100,0),'Construction Cost Increase'!$G$47),IF(AND('Construction Cost Increase'!$F$7="no",'Construction Cost Increase'!$G$7="no",'Construction Cost Increase'!$H$7="no",'Construction Cost Increase'!$F$37&lt;$C$39),ROUND(($C$39-'Construction Cost Increase'!$D$17-'Construction Cost Increase'!$D$27-'Construction Cost Increase'!$D$37)*' Construction Cost'!$G$12/100,0),IF(AND('Construction Cost Increase'!$F$7="yes",'Construction Cost Increase'!$G$7="yes",'Construction Cost Increase'!$H$7="no",'Construction Cost Increase'!$F$37&gt;=$C$39),MIN(ROUND('Construction Cost Increase'!$B$37*' Construction Cost'!$G$12/100,0),'Construction Cost Increase'!$G$47),IF(AND('Construction Cost Increase'!$F$7="yes",'Construction Cost Increase'!$G$7="yes",'Construction Cost Increase'!$H$7="no",'Construction Cost Increase'!$F$37&lt;$C$39),ROUND(($C$39-'Construction Cost Increase'!$D$37)*' Construction Cost'!$G$12/100,0),IF(AND('Construction Cost Increase'!$F$7="yes",'Construction Cost Increase'!$G$7="no",'Construction Cost Increase'!$H$7="yes",'Construction Cost Increase'!$F$37&gt;=$C$39),MIN(ROUND(('Construction Cost Increase'!$B$27+'Construction Cost Increase'!$D$37)*' Construction Cost'!$G$12/100,0),'Construction Cost Increase'!$G$47),IF(AND('Construction Cost Increase'!$F$7="yes",'Construction Cost Increase'!$G$7="no",'Construction Cost Increase'!$H$7="yes",'Construction Cost Increase'!$F$37&lt;$C$39),ROUND(($C$39-'Construction Cost Increase'!$D$27)*' Construction Cost'!$G$12/100,0),IF(AND('Construction Cost Increase'!$F$7="yes",'Construction Cost Increase'!$G$7="no",'Construction Cost Increase'!$H$7="no",'Construction Cost Increase'!$F$37&gt;=$C$39),MIN(ROUND('Construction Cost Increase'!$B$27*' Construction Cost'!$G$12/100,0),'Construction Cost Increase'!$G$47),IF(AND('Construction Cost Increase'!$F$7="yes",'Construction Cost Increase'!$G$7="no",'Construction Cost Increase'!$H$7="no",'Construction Cost Increase'!$F$37&lt;$C$39),ROUND(($C$39-'Construction Cost Increase'!$D$27-'Construction Cost Increase'!$D$37)*' Construction Cost'!$G$12/100,0),IF(AND('Construction Cost Increase'!$F$7="no",'Construction Cost Increase'!$G$7="yes",'Construction Cost Increase'!$H$7="yes",'Construction Cost Increase'!$F$37&gt;=$C$39),MIN(ROUND(('Construction Cost Increase'!$B$17+'Construction Cost Increase'!$D$27+'Construction Cost Increase'!$D$37)*' Construction Cost'!$G$12/100,0),'Construction Cost Increase'!$G$47),IF(AND('Construction Cost Increase'!$F$7="no",'Construction Cost Increase'!$G$7="yes",'Construction Cost Increase'!$H$7="yes",'Construction Cost Increase'!$F$37&lt;$C$39),ROUND(($C$39-'Construction Cost Increase'!$D$17)*' Construction Cost'!$G$12/100,0),IF(AND('Construction Cost Increase'!$F$7="no",'Construction Cost Increase'!$G$7="no",'Construction Cost Increase'!$H$7="yes",'Construction Cost Increase'!$F$37&gt;=$C$39),MIN(ROUND(('Construction Cost Increase'!$B$17+'Construction Cost Increase'!$D$37)*' Construction Cost'!$G$12/100,0),'Construction Cost Increase'!$G$47),IF(AND('Construction Cost Increase'!$F$7="no",'Construction Cost Increase'!$G$7="no",'Construction Cost Increase'!$H$7="yes",'Construction Cost Increase'!$F$37&lt;$C$39),ROUND(($C$39-'Construction Cost Increase'!$D$17-'Construction Cost Increase'!$D$27)*' Construction Cost'!$G$12/100,0),IF(AND('Construction Cost Increase'!$F$7="no",'Construction Cost Increase'!$G$7="yes",'Construction Cost Increase'!$H$7="no",'Construction Cost Increase'!$F$37&gt;=$C$39),MIN(ROUND(('Construction Cost Increase'!$B$17+'Construction Cost Increase'!$D$27)*' Construction Cost'!$G$12/100,0),'Construction Cost Increase'!$G$47),IF(AND('Construction Cost Increase'!$F$7="no",'Construction Cost Increase'!$G$7="yes",'Construction Cost Increase'!$H$7="no",'Construction Cost Increase'!$F$37&lt;$C$39),ROUND(($C$39-'Construction Cost Increase'!$D$17-'Construction Cost Increase'!$D$37)*' Construction Cost'!$G$12/100,0),0))))))))))))))))))))))))))</f>
        <v>0</v>
      </c>
      <c r="G39" s="323"/>
      <c r="H39" s="323"/>
      <c r="I39" s="323"/>
      <c r="J39" s="323"/>
      <c r="K39" s="323"/>
      <c r="L39" s="323"/>
      <c r="M39" s="323"/>
      <c r="N39" s="323"/>
      <c r="O39" s="323"/>
      <c r="P39" s="323"/>
      <c r="Q39" s="323"/>
      <c r="R39" s="323"/>
    </row>
    <row r="40" spans="1:18" ht="19.5" customHeight="1" x14ac:dyDescent="0.2">
      <c r="A40" s="610" t="s">
        <v>268</v>
      </c>
      <c r="B40" s="610"/>
      <c r="C40" s="310">
        <f>SUM($C$35:$C$39)</f>
        <v>0</v>
      </c>
      <c r="D40" s="610" t="s">
        <v>269</v>
      </c>
      <c r="E40" s="610"/>
      <c r="F40" s="310">
        <f>SUM($F$35:$F$39)</f>
        <v>0</v>
      </c>
      <c r="G40" s="323"/>
      <c r="H40" s="323"/>
      <c r="I40" s="323"/>
      <c r="J40" s="323"/>
      <c r="K40" s="323"/>
      <c r="L40" s="323"/>
      <c r="M40" s="323"/>
      <c r="N40" s="323"/>
      <c r="O40" s="323"/>
      <c r="P40" s="323"/>
      <c r="Q40" s="323"/>
      <c r="R40" s="323"/>
    </row>
    <row r="41" spans="1:18" ht="32.25" customHeight="1" x14ac:dyDescent="0.2">
      <c r="C41" s="307"/>
      <c r="D41" s="307"/>
      <c r="E41" s="335" t="s">
        <v>272</v>
      </c>
      <c r="F41" s="334">
        <f>IF('Construction Cost Increase'!$G$47&lt;=0,' Construction Cost'!$F$26,'Construction Cost Increase'!$G$47)</f>
        <v>0</v>
      </c>
      <c r="G41" s="323"/>
      <c r="H41" s="323"/>
      <c r="I41" s="323"/>
      <c r="J41" s="323"/>
      <c r="K41" s="323"/>
      <c r="L41" s="323"/>
      <c r="M41" s="323"/>
      <c r="N41" s="323"/>
      <c r="O41" s="323"/>
      <c r="P41" s="323"/>
      <c r="Q41" s="323"/>
      <c r="R41" s="323"/>
    </row>
    <row r="42" spans="1:18" ht="18.75" customHeight="1" x14ac:dyDescent="0.25">
      <c r="C42" s="590" t="s">
        <v>271</v>
      </c>
      <c r="D42" s="590"/>
      <c r="E42" s="590"/>
      <c r="F42" s="138"/>
      <c r="G42" s="323"/>
      <c r="H42" s="323"/>
      <c r="I42" s="323"/>
      <c r="J42" s="323"/>
      <c r="K42" s="323"/>
      <c r="L42" s="323"/>
      <c r="M42" s="323"/>
      <c r="N42" s="323"/>
      <c r="O42" s="323"/>
      <c r="P42" s="323"/>
      <c r="Q42" s="323"/>
      <c r="R42" s="323"/>
    </row>
    <row r="43" spans="1:18" ht="18.75" customHeight="1" x14ac:dyDescent="0.2">
      <c r="C43" s="318" t="s">
        <v>154</v>
      </c>
      <c r="D43" s="318" t="s">
        <v>336</v>
      </c>
      <c r="E43" s="318" t="s">
        <v>317</v>
      </c>
      <c r="F43" s="325"/>
      <c r="G43" s="323"/>
      <c r="H43" s="323"/>
      <c r="I43" s="323"/>
      <c r="J43" s="323"/>
      <c r="K43" s="323"/>
      <c r="L43" s="323"/>
      <c r="M43" s="323"/>
      <c r="N43" s="323"/>
      <c r="O43" s="323"/>
      <c r="P43" s="323"/>
      <c r="Q43" s="323"/>
      <c r="R43" s="323"/>
    </row>
    <row r="44" spans="1:18" ht="19.5" customHeight="1" x14ac:dyDescent="0.2">
      <c r="C44" s="311">
        <f>$E$44-$D$44</f>
        <v>0</v>
      </c>
      <c r="D44" s="311">
        <f>MIN($F$40,$F$41)</f>
        <v>0</v>
      </c>
      <c r="E44" s="311">
        <f>$C$40</f>
        <v>0</v>
      </c>
      <c r="F44" s="326"/>
      <c r="G44" s="323"/>
      <c r="H44" s="323"/>
      <c r="I44" s="323"/>
      <c r="J44" s="323"/>
      <c r="K44" s="323"/>
      <c r="L44" s="323"/>
      <c r="M44" s="323"/>
      <c r="N44" s="323"/>
      <c r="O44" s="323"/>
      <c r="P44" s="323"/>
      <c r="Q44" s="323"/>
      <c r="R44" s="323"/>
    </row>
    <row r="45" spans="1:18" ht="20.25" customHeight="1" x14ac:dyDescent="0.2">
      <c r="C45" s="611" t="s">
        <v>270</v>
      </c>
      <c r="D45" s="546"/>
      <c r="E45" s="312">
        <f>IF($C$40&gt;0,$D$44/$E$44*100,0)</f>
        <v>0</v>
      </c>
      <c r="F45" s="327"/>
      <c r="G45" s="323"/>
      <c r="H45" s="323"/>
      <c r="I45" s="323"/>
      <c r="J45" s="323"/>
      <c r="K45" s="323"/>
      <c r="L45" s="323"/>
      <c r="M45" s="323"/>
      <c r="N45" s="323"/>
      <c r="O45" s="323"/>
      <c r="P45" s="323"/>
      <c r="Q45" s="323"/>
      <c r="R45" s="323"/>
    </row>
    <row r="46" spans="1:18" ht="20.25" customHeight="1" x14ac:dyDescent="0.2">
      <c r="C46" s="328"/>
      <c r="D46" s="329"/>
      <c r="E46" s="330"/>
      <c r="F46" s="327"/>
      <c r="G46" s="323"/>
      <c r="H46" s="323"/>
      <c r="I46" s="323"/>
      <c r="J46" s="323"/>
      <c r="K46" s="323"/>
      <c r="L46" s="323"/>
      <c r="M46" s="323"/>
      <c r="N46" s="323"/>
      <c r="O46" s="323"/>
      <c r="P46" s="323"/>
      <c r="Q46" s="323"/>
      <c r="R46" s="323"/>
    </row>
    <row r="47" spans="1:18" ht="20.25" customHeight="1" thickBot="1" x14ac:dyDescent="0.25">
      <c r="C47" s="331"/>
      <c r="D47" s="329"/>
      <c r="E47" s="330"/>
      <c r="F47" s="327"/>
    </row>
    <row r="48" spans="1:18" ht="20.25" customHeight="1" thickBot="1" x14ac:dyDescent="0.25">
      <c r="B48" s="607" t="s">
        <v>303</v>
      </c>
      <c r="C48" s="608"/>
      <c r="D48" s="608"/>
      <c r="E48" s="608"/>
      <c r="F48" s="608"/>
      <c r="G48" s="609"/>
    </row>
    <row r="49" spans="2:18" ht="23.25" x14ac:dyDescent="0.2">
      <c r="B49" s="593" t="str">
        <f>IF('Project Information'!C3="","Project Name",'Project Information'!C3)</f>
        <v>Project Name</v>
      </c>
      <c r="C49" s="593"/>
      <c r="D49" s="593"/>
      <c r="E49" s="593"/>
      <c r="F49" s="365" t="s">
        <v>15</v>
      </c>
      <c r="G49" s="366" t="s">
        <v>16</v>
      </c>
      <c r="H49" s="333"/>
      <c r="I49" s="333"/>
      <c r="J49" s="333"/>
      <c r="K49" s="333"/>
      <c r="L49" s="333"/>
      <c r="M49" s="333"/>
      <c r="N49" s="333"/>
      <c r="O49" s="333"/>
      <c r="P49" s="333"/>
      <c r="Q49" s="333"/>
      <c r="R49" s="333"/>
    </row>
    <row r="50" spans="2:18" ht="23.25" x14ac:dyDescent="0.2">
      <c r="B50" s="594" t="str">
        <f>IF('Project Information'!C4="","Project Number",'Project Information'!C4)</f>
        <v>Project Number</v>
      </c>
      <c r="C50" s="594"/>
      <c r="D50" s="594"/>
      <c r="E50" s="594"/>
      <c r="F50" s="367" t="s">
        <v>27</v>
      </c>
      <c r="G50" s="297"/>
      <c r="H50" s="333"/>
      <c r="I50" s="333"/>
      <c r="J50" s="333"/>
      <c r="K50" s="333"/>
      <c r="L50" s="333"/>
      <c r="M50" s="333"/>
      <c r="N50" s="333"/>
      <c r="O50" s="333"/>
      <c r="P50" s="333"/>
      <c r="Q50" s="333"/>
      <c r="R50" s="333"/>
    </row>
    <row r="51" spans="2:18" ht="15" x14ac:dyDescent="0.25">
      <c r="B51" s="586"/>
      <c r="C51" s="587"/>
      <c r="D51" s="587"/>
      <c r="E51" s="587"/>
      <c r="F51" s="587"/>
      <c r="G51" s="588"/>
      <c r="H51" s="333"/>
      <c r="I51" s="333"/>
      <c r="J51" s="333"/>
      <c r="K51" s="333"/>
      <c r="L51" s="333"/>
      <c r="M51" s="333"/>
      <c r="N51" s="333"/>
      <c r="O51" s="333"/>
      <c r="P51" s="333"/>
      <c r="Q51" s="333"/>
      <c r="R51" s="333"/>
    </row>
    <row r="52" spans="2:18" ht="25.5" x14ac:dyDescent="0.2">
      <c r="B52" s="298"/>
      <c r="C52" s="298"/>
      <c r="D52" s="298"/>
      <c r="E52" s="298"/>
      <c r="F52" s="368" t="s">
        <v>259</v>
      </c>
      <c r="G52" s="368" t="s">
        <v>260</v>
      </c>
      <c r="H52" s="333"/>
      <c r="I52" s="333"/>
      <c r="J52" s="333"/>
      <c r="K52" s="333"/>
      <c r="L52" s="333"/>
      <c r="M52" s="333"/>
      <c r="N52" s="333"/>
      <c r="O52" s="333"/>
      <c r="P52" s="333"/>
      <c r="Q52" s="333"/>
      <c r="R52" s="333"/>
    </row>
    <row r="53" spans="2:18" ht="18" customHeight="1" x14ac:dyDescent="0.2">
      <c r="B53" s="589" t="s">
        <v>326</v>
      </c>
      <c r="C53" s="589"/>
      <c r="D53" s="589"/>
      <c r="E53" s="589"/>
      <c r="F53" s="369">
        <f>IF(' Planning &amp; Design Cost'!$J$26=0,0,' Planning &amp; Design Cost'!$C$20+' Planning &amp; Design Cost'!$C$21+' Planning &amp; Design Cost'!$C$22)</f>
        <v>0</v>
      </c>
      <c r="G53" s="305"/>
      <c r="H53" s="333"/>
      <c r="I53" s="333"/>
      <c r="J53" s="333"/>
      <c r="K53" s="333"/>
      <c r="L53" s="333"/>
      <c r="M53" s="333"/>
      <c r="N53" s="333"/>
      <c r="O53" s="333"/>
      <c r="P53" s="333"/>
      <c r="Q53" s="333"/>
      <c r="R53" s="333"/>
    </row>
    <row r="54" spans="2:18" x14ac:dyDescent="0.2">
      <c r="B54" s="370">
        <v>1</v>
      </c>
      <c r="C54" s="559"/>
      <c r="D54" s="559"/>
      <c r="E54" s="559"/>
      <c r="F54" s="305"/>
      <c r="G54" s="299"/>
      <c r="H54" s="333"/>
      <c r="I54" s="333"/>
      <c r="J54" s="333"/>
      <c r="K54" s="333"/>
      <c r="L54" s="333"/>
      <c r="M54" s="333"/>
      <c r="N54" s="333"/>
      <c r="O54" s="333"/>
      <c r="P54" s="333"/>
      <c r="Q54" s="333"/>
      <c r="R54" s="333"/>
    </row>
    <row r="55" spans="2:18" x14ac:dyDescent="0.2">
      <c r="B55" s="370">
        <v>2</v>
      </c>
      <c r="C55" s="559"/>
      <c r="D55" s="559"/>
      <c r="E55" s="559"/>
      <c r="F55" s="305"/>
      <c r="G55" s="299"/>
      <c r="H55" s="333"/>
      <c r="I55" s="333"/>
      <c r="J55" s="333"/>
      <c r="K55" s="333"/>
      <c r="L55" s="333"/>
      <c r="M55" s="333"/>
      <c r="N55" s="333"/>
      <c r="O55" s="333"/>
      <c r="P55" s="333"/>
      <c r="Q55" s="333"/>
      <c r="R55" s="333"/>
    </row>
    <row r="56" spans="2:18" x14ac:dyDescent="0.2">
      <c r="B56" s="370">
        <v>3</v>
      </c>
      <c r="C56" s="559"/>
      <c r="D56" s="559"/>
      <c r="E56" s="559"/>
      <c r="F56" s="305"/>
      <c r="G56" s="299"/>
      <c r="H56" s="333"/>
      <c r="I56" s="333"/>
      <c r="J56" s="333"/>
      <c r="K56" s="333"/>
      <c r="L56" s="333"/>
      <c r="M56" s="333"/>
      <c r="N56" s="333"/>
      <c r="O56" s="333"/>
      <c r="P56" s="333"/>
      <c r="Q56" s="333"/>
      <c r="R56" s="333"/>
    </row>
    <row r="57" spans="2:18" x14ac:dyDescent="0.2">
      <c r="B57" s="370">
        <v>4</v>
      </c>
      <c r="C57" s="559"/>
      <c r="D57" s="559"/>
      <c r="E57" s="559"/>
      <c r="F57" s="305"/>
      <c r="G57" s="299"/>
      <c r="H57" s="333"/>
      <c r="I57" s="333"/>
      <c r="J57" s="333"/>
      <c r="K57" s="333"/>
      <c r="L57" s="333"/>
      <c r="M57" s="333"/>
      <c r="N57" s="333"/>
      <c r="O57" s="333"/>
      <c r="P57" s="333"/>
      <c r="Q57" s="333"/>
      <c r="R57" s="333"/>
    </row>
    <row r="58" spans="2:18" x14ac:dyDescent="0.2">
      <c r="B58" s="561"/>
      <c r="C58" s="561"/>
      <c r="D58" s="561"/>
      <c r="E58" s="371" t="s">
        <v>304</v>
      </c>
      <c r="F58" s="303"/>
      <c r="G58" s="372">
        <f>SUM($G$54:$G$57)</f>
        <v>0</v>
      </c>
      <c r="H58" s="333"/>
      <c r="I58" s="333"/>
      <c r="J58" s="333"/>
      <c r="K58" s="333"/>
      <c r="L58" s="333"/>
      <c r="M58" s="333"/>
      <c r="N58" s="333"/>
      <c r="O58" s="333"/>
      <c r="P58" s="333"/>
      <c r="Q58" s="333"/>
      <c r="R58" s="333"/>
    </row>
    <row r="59" spans="2:18" x14ac:dyDescent="0.2">
      <c r="B59" s="584" t="s">
        <v>305</v>
      </c>
      <c r="C59" s="585"/>
      <c r="D59" s="585"/>
      <c r="E59" s="585"/>
      <c r="F59" s="372">
        <f>IF(' Planning &amp; Design Cost'!$J$26=0,0,' Planning &amp; Design Cost'!$C$24)</f>
        <v>0</v>
      </c>
      <c r="G59" s="303"/>
      <c r="H59" s="333"/>
      <c r="I59" s="333"/>
      <c r="J59" s="333"/>
      <c r="K59" s="333"/>
      <c r="L59" s="333"/>
      <c r="M59" s="333"/>
      <c r="N59" s="333"/>
      <c r="O59" s="333"/>
      <c r="P59" s="333"/>
      <c r="Q59" s="333"/>
      <c r="R59" s="333"/>
    </row>
    <row r="60" spans="2:18" x14ac:dyDescent="0.2">
      <c r="B60" s="565" t="s">
        <v>333</v>
      </c>
      <c r="C60" s="566"/>
      <c r="D60" s="566"/>
      <c r="E60" s="567"/>
      <c r="F60" s="373">
        <f>IF(' Planning &amp; Design Cost'!$J$26=0,0,' Planning &amp; Design Cost'!$C$23)</f>
        <v>0</v>
      </c>
      <c r="G60" s="299"/>
      <c r="H60" s="333"/>
      <c r="I60" s="333"/>
      <c r="J60" s="333"/>
      <c r="K60" s="333"/>
      <c r="L60" s="333"/>
      <c r="M60" s="333"/>
      <c r="N60" s="333"/>
      <c r="O60" s="333"/>
      <c r="P60" s="333"/>
      <c r="Q60" s="333"/>
      <c r="R60" s="333"/>
    </row>
    <row r="61" spans="2:18" x14ac:dyDescent="0.2">
      <c r="B61" s="565" t="s">
        <v>306</v>
      </c>
      <c r="C61" s="566"/>
      <c r="D61" s="566"/>
      <c r="E61" s="567"/>
      <c r="F61" s="373">
        <f>IF(' Planning &amp; Design Cost'!$J$26=0,0,' Planning &amp; Design Cost'!$C$25)</f>
        <v>0</v>
      </c>
      <c r="G61" s="304"/>
    </row>
    <row r="62" spans="2:18" ht="16.5" customHeight="1" x14ac:dyDescent="0.2">
      <c r="B62" s="568" t="s">
        <v>307</v>
      </c>
      <c r="C62" s="569"/>
      <c r="D62" s="569"/>
      <c r="E62" s="570"/>
      <c r="F62" s="376"/>
      <c r="G62" s="372">
        <f>$G$58+$G$60</f>
        <v>0</v>
      </c>
    </row>
    <row r="63" spans="2:18" ht="16.5" customHeight="1" x14ac:dyDescent="0.2">
      <c r="B63" s="374"/>
      <c r="C63" s="375"/>
      <c r="D63" s="375"/>
      <c r="E63" s="375" t="s">
        <v>329</v>
      </c>
      <c r="F63" s="407">
        <f>SUM(F53:F61)</f>
        <v>0</v>
      </c>
      <c r="G63" s="408"/>
    </row>
    <row r="64" spans="2:18" ht="23.25" customHeight="1" x14ac:dyDescent="0.2">
      <c r="B64" s="571"/>
      <c r="C64" s="572"/>
      <c r="D64" s="572"/>
      <c r="E64" s="572"/>
      <c r="F64" s="572"/>
      <c r="G64" s="573"/>
    </row>
    <row r="65" spans="2:7" ht="18" customHeight="1" x14ac:dyDescent="0.2">
      <c r="B65" s="584" t="s">
        <v>327</v>
      </c>
      <c r="C65" s="584"/>
      <c r="D65" s="584"/>
      <c r="E65" s="584"/>
      <c r="F65" s="369">
        <f>IF(' Planning &amp; Design Cost'!$J$38=0,0,' Planning &amp; Design Cost'!$C$32+' Planning &amp; Design Cost'!$C$33+' Planning &amp; Design Cost'!$C$34)</f>
        <v>0</v>
      </c>
      <c r="G65" s="305"/>
    </row>
    <row r="66" spans="2:7" x14ac:dyDescent="0.2">
      <c r="B66" s="370">
        <v>1</v>
      </c>
      <c r="C66" s="559"/>
      <c r="D66" s="559"/>
      <c r="E66" s="559"/>
      <c r="F66" s="305"/>
      <c r="G66" s="299"/>
    </row>
    <row r="67" spans="2:7" x14ac:dyDescent="0.2">
      <c r="B67" s="370">
        <v>2</v>
      </c>
      <c r="C67" s="559"/>
      <c r="D67" s="559"/>
      <c r="E67" s="559"/>
      <c r="F67" s="305"/>
      <c r="G67" s="299"/>
    </row>
    <row r="68" spans="2:7" x14ac:dyDescent="0.2">
      <c r="B68" s="370">
        <v>3</v>
      </c>
      <c r="C68" s="559"/>
      <c r="D68" s="559"/>
      <c r="E68" s="559"/>
      <c r="F68" s="305"/>
      <c r="G68" s="299"/>
    </row>
    <row r="69" spans="2:7" x14ac:dyDescent="0.2">
      <c r="B69" s="370">
        <v>4</v>
      </c>
      <c r="C69" s="560"/>
      <c r="D69" s="560"/>
      <c r="E69" s="560"/>
      <c r="F69" s="305"/>
      <c r="G69" s="299"/>
    </row>
    <row r="70" spans="2:7" x14ac:dyDescent="0.2">
      <c r="B70" s="561"/>
      <c r="C70" s="561"/>
      <c r="D70" s="561"/>
      <c r="E70" s="371" t="s">
        <v>308</v>
      </c>
      <c r="F70" s="305"/>
      <c r="G70" s="372">
        <f>SUM($G$66:$G$69)</f>
        <v>0</v>
      </c>
    </row>
    <row r="71" spans="2:7" x14ac:dyDescent="0.2">
      <c r="B71" s="584" t="s">
        <v>309</v>
      </c>
      <c r="C71" s="584"/>
      <c r="D71" s="584"/>
      <c r="E71" s="584"/>
      <c r="F71" s="372">
        <f>IF(' Planning &amp; Design Cost'!$J$38=0,0,' Planning &amp; Design Cost'!$C$36)</f>
        <v>0</v>
      </c>
      <c r="G71" s="303"/>
    </row>
    <row r="72" spans="2:7" x14ac:dyDescent="0.2">
      <c r="B72" s="565" t="s">
        <v>334</v>
      </c>
      <c r="C72" s="566"/>
      <c r="D72" s="566"/>
      <c r="E72" s="567"/>
      <c r="F72" s="373">
        <f>IF(' Planning &amp; Design Cost'!$J$38=0,0,' Planning &amp; Design Cost'!$C$35)</f>
        <v>0</v>
      </c>
      <c r="G72" s="299"/>
    </row>
    <row r="73" spans="2:7" x14ac:dyDescent="0.2">
      <c r="B73" s="565" t="s">
        <v>310</v>
      </c>
      <c r="C73" s="566"/>
      <c r="D73" s="566"/>
      <c r="E73" s="567"/>
      <c r="F73" s="373">
        <f>IF(' Planning &amp; Design Cost'!$J$38=0,0,' Planning &amp; Design Cost'!$C$37)</f>
        <v>0</v>
      </c>
      <c r="G73" s="304"/>
    </row>
    <row r="74" spans="2:7" x14ac:dyDescent="0.2">
      <c r="B74" s="568" t="s">
        <v>311</v>
      </c>
      <c r="C74" s="569"/>
      <c r="D74" s="569"/>
      <c r="E74" s="570"/>
      <c r="F74" s="376"/>
      <c r="G74" s="373">
        <f>$G$70+$G$72</f>
        <v>0</v>
      </c>
    </row>
    <row r="75" spans="2:7" ht="15.75" customHeight="1" x14ac:dyDescent="0.2">
      <c r="B75" s="574" t="s">
        <v>330</v>
      </c>
      <c r="C75" s="575"/>
      <c r="D75" s="575"/>
      <c r="E75" s="576"/>
      <c r="F75" s="372">
        <f>SUM($F$65:$F$73)</f>
        <v>0</v>
      </c>
      <c r="G75" s="303"/>
    </row>
    <row r="76" spans="2:7" ht="24.75" customHeight="1" x14ac:dyDescent="0.2">
      <c r="B76" s="571"/>
      <c r="C76" s="572"/>
      <c r="D76" s="572"/>
      <c r="E76" s="572"/>
      <c r="F76" s="572"/>
      <c r="G76" s="573"/>
    </row>
    <row r="77" spans="2:7" ht="18.75" customHeight="1" x14ac:dyDescent="0.2">
      <c r="B77" s="584" t="s">
        <v>328</v>
      </c>
      <c r="C77" s="584"/>
      <c r="D77" s="584"/>
      <c r="E77" s="584"/>
      <c r="F77" s="369">
        <f>IF(' Planning &amp; Design Cost'!$J$51=0,0,' Planning &amp; Design Cost'!$C$44+' Planning &amp; Design Cost'!$C$45+' Planning &amp; Design Cost'!$C$46+' Planning &amp; Design Cost'!$C$47)</f>
        <v>0</v>
      </c>
      <c r="G77" s="305"/>
    </row>
    <row r="78" spans="2:7" x14ac:dyDescent="0.2">
      <c r="B78" s="370">
        <v>1</v>
      </c>
      <c r="C78" s="559"/>
      <c r="D78" s="559"/>
      <c r="E78" s="559"/>
      <c r="F78" s="305"/>
      <c r="G78" s="299"/>
    </row>
    <row r="79" spans="2:7" x14ac:dyDescent="0.2">
      <c r="B79" s="370">
        <v>2</v>
      </c>
      <c r="C79" s="559"/>
      <c r="D79" s="559"/>
      <c r="E79" s="559"/>
      <c r="F79" s="305"/>
      <c r="G79" s="299"/>
    </row>
    <row r="80" spans="2:7" x14ac:dyDescent="0.2">
      <c r="B80" s="370">
        <v>3</v>
      </c>
      <c r="C80" s="559"/>
      <c r="D80" s="559"/>
      <c r="E80" s="559"/>
      <c r="F80" s="305"/>
      <c r="G80" s="299"/>
    </row>
    <row r="81" spans="2:7" x14ac:dyDescent="0.2">
      <c r="B81" s="370">
        <v>4</v>
      </c>
      <c r="C81" s="560"/>
      <c r="D81" s="560"/>
      <c r="E81" s="560"/>
      <c r="F81" s="305"/>
      <c r="G81" s="299"/>
    </row>
    <row r="82" spans="2:7" x14ac:dyDescent="0.2">
      <c r="B82" s="561"/>
      <c r="C82" s="561"/>
      <c r="D82" s="561"/>
      <c r="E82" s="371" t="s">
        <v>322</v>
      </c>
      <c r="F82" s="305"/>
      <c r="G82" s="372">
        <f>SUM($G$78:$G$81)</f>
        <v>0</v>
      </c>
    </row>
    <row r="83" spans="2:7" x14ac:dyDescent="0.2">
      <c r="B83" s="584" t="s">
        <v>319</v>
      </c>
      <c r="C83" s="584"/>
      <c r="D83" s="584"/>
      <c r="E83" s="584"/>
      <c r="F83" s="372">
        <f>IF(' Planning &amp; Design Cost'!$J$51=0,0,' Planning &amp; Design Cost'!$C$49)</f>
        <v>0</v>
      </c>
      <c r="G83" s="303"/>
    </row>
    <row r="84" spans="2:7" x14ac:dyDescent="0.2">
      <c r="B84" s="565" t="s">
        <v>335</v>
      </c>
      <c r="C84" s="566"/>
      <c r="D84" s="566"/>
      <c r="E84" s="567"/>
      <c r="F84" s="373">
        <f>IF(' Planning &amp; Design Cost'!$J$51=0,0,' Planning &amp; Design Cost'!$C$48)</f>
        <v>0</v>
      </c>
      <c r="G84" s="299"/>
    </row>
    <row r="85" spans="2:7" x14ac:dyDescent="0.2">
      <c r="B85" s="565" t="s">
        <v>320</v>
      </c>
      <c r="C85" s="566"/>
      <c r="D85" s="566"/>
      <c r="E85" s="567"/>
      <c r="F85" s="373">
        <f>IF(' Planning &amp; Design Cost'!$J$51=0,0,' Planning &amp; Design Cost'!$C$50)</f>
        <v>0</v>
      </c>
      <c r="G85" s="304"/>
    </row>
    <row r="86" spans="2:7" ht="16.5" customHeight="1" x14ac:dyDescent="0.2">
      <c r="B86" s="568" t="s">
        <v>321</v>
      </c>
      <c r="C86" s="569"/>
      <c r="D86" s="569"/>
      <c r="E86" s="570"/>
      <c r="F86" s="376"/>
      <c r="G86" s="373">
        <f>$G$78+$G$84</f>
        <v>0</v>
      </c>
    </row>
    <row r="87" spans="2:7" ht="16.5" customHeight="1" x14ac:dyDescent="0.2">
      <c r="B87" s="374"/>
      <c r="C87" s="375"/>
      <c r="D87" s="375"/>
      <c r="E87" s="375" t="s">
        <v>331</v>
      </c>
      <c r="F87" s="407">
        <f>SUM($F$77:$F$85)</f>
        <v>0</v>
      </c>
      <c r="G87" s="409"/>
    </row>
    <row r="88" spans="2:7" x14ac:dyDescent="0.2">
      <c r="B88" s="571"/>
      <c r="C88" s="572"/>
      <c r="D88" s="572"/>
      <c r="E88" s="572"/>
      <c r="F88" s="572"/>
      <c r="G88" s="573"/>
    </row>
    <row r="89" spans="2:7" ht="14.25" x14ac:dyDescent="0.2">
      <c r="B89" s="562" t="s">
        <v>323</v>
      </c>
      <c r="C89" s="563"/>
      <c r="D89" s="563"/>
      <c r="E89" s="564"/>
      <c r="F89" s="377">
        <f>' Planning &amp; Design Cost'!$C$27</f>
        <v>0</v>
      </c>
      <c r="G89" s="303"/>
    </row>
    <row r="90" spans="2:7" ht="14.25" x14ac:dyDescent="0.2">
      <c r="B90" s="562" t="s">
        <v>324</v>
      </c>
      <c r="C90" s="563"/>
      <c r="D90" s="563"/>
      <c r="E90" s="564"/>
      <c r="F90" s="377">
        <f>' Planning &amp; Design Cost'!$C$40</f>
        <v>0</v>
      </c>
      <c r="G90" s="303"/>
    </row>
    <row r="91" spans="2:7" ht="14.25" x14ac:dyDescent="0.2">
      <c r="B91" s="562" t="s">
        <v>325</v>
      </c>
      <c r="C91" s="563"/>
      <c r="D91" s="563"/>
      <c r="E91" s="564"/>
      <c r="F91" s="377">
        <f>' Planning &amp; Design Cost'!$C$52</f>
        <v>0</v>
      </c>
      <c r="G91" s="303"/>
    </row>
    <row r="92" spans="2:7" s="403" customFormat="1" ht="17.25" customHeight="1" x14ac:dyDescent="0.2">
      <c r="B92" s="558"/>
      <c r="C92" s="558"/>
      <c r="D92" s="558"/>
      <c r="E92" s="404" t="s">
        <v>264</v>
      </c>
      <c r="F92" s="369">
        <f>IF(AND($F$53&gt;0,$F$65=0,$F$77=0),$F$63-$F$89, IF(AND($F$53=0,$F$65&gt;0,$F$77=0),$F$75-$F$90,IF(AND($F$53&gt;0,$F$65&gt;0,$F$77=0),$F$63+$F$75-$F$89-$F$90,IF(AND($F$53=0,$F$65=0,$F$77&gt;0),$F$87-$F$91,0))))</f>
        <v>0</v>
      </c>
      <c r="G92" s="402"/>
    </row>
    <row r="93" spans="2:7" s="403" customFormat="1" ht="16.5" customHeight="1" x14ac:dyDescent="0.2">
      <c r="B93" s="558"/>
      <c r="C93" s="558"/>
      <c r="D93" s="558"/>
      <c r="E93" s="404" t="s">
        <v>265</v>
      </c>
      <c r="F93" s="369">
        <f>IF(AND($G$62&gt;0,$G$74=0,$G$86=0),$G$62, IF(AND($G$62=0,$G$74&gt;0,$G$86=0),$G$74,IF(AND($G$62&gt;0,$G$74&gt;0,$G$86=0),$G$62+$G$74,IF(AND($G$62=0,$G$74=0,$G$86&gt;0),$G$86,0))))</f>
        <v>0</v>
      </c>
      <c r="G93" s="402"/>
    </row>
    <row r="94" spans="2:7" ht="16.5" customHeight="1" x14ac:dyDescent="0.2">
      <c r="B94" s="558"/>
      <c r="C94" s="558"/>
      <c r="D94" s="558"/>
      <c r="E94" s="405" t="s">
        <v>266</v>
      </c>
      <c r="F94" s="378">
        <f>$F$92-$F$93</f>
        <v>0</v>
      </c>
      <c r="G94" s="305"/>
    </row>
    <row r="95" spans="2:7" ht="17.25" customHeight="1" x14ac:dyDescent="0.2">
      <c r="B95" s="562" t="s">
        <v>332</v>
      </c>
      <c r="C95" s="563"/>
      <c r="D95" s="563"/>
      <c r="E95" s="563"/>
      <c r="F95" s="564"/>
      <c r="G95" s="372">
        <f>$F$93*0.02</f>
        <v>0</v>
      </c>
    </row>
    <row r="96" spans="2:7" ht="26.25" customHeight="1" x14ac:dyDescent="0.2">
      <c r="B96" s="321"/>
      <c r="C96" s="321"/>
      <c r="D96" s="321"/>
      <c r="E96" s="321"/>
      <c r="F96" s="321"/>
      <c r="G96" s="322"/>
    </row>
    <row r="97" spans="2:11" ht="15" x14ac:dyDescent="0.2">
      <c r="B97" s="581" t="s">
        <v>312</v>
      </c>
      <c r="C97" s="581"/>
      <c r="D97" s="581"/>
      <c r="E97" s="581" t="s">
        <v>337</v>
      </c>
      <c r="F97" s="581"/>
      <c r="G97" s="581"/>
    </row>
    <row r="98" spans="2:11" x14ac:dyDescent="0.2">
      <c r="B98" s="379" t="s">
        <v>313</v>
      </c>
      <c r="C98" s="380"/>
      <c r="D98" s="381">
        <f>$G$58</f>
        <v>0</v>
      </c>
      <c r="E98" s="382" t="s">
        <v>313</v>
      </c>
      <c r="F98" s="383"/>
      <c r="G98" s="384">
        <f>IF($D$98&gt;0,$D$98*0.5,0)</f>
        <v>0</v>
      </c>
      <c r="K98" s="401"/>
    </row>
    <row r="99" spans="2:11" x14ac:dyDescent="0.2">
      <c r="B99" s="382" t="s">
        <v>89</v>
      </c>
      <c r="C99" s="385"/>
      <c r="D99" s="381">
        <f>$G$60</f>
        <v>0</v>
      </c>
      <c r="E99" s="382" t="s">
        <v>89</v>
      </c>
      <c r="F99" s="383"/>
      <c r="G99" s="384">
        <f>IF($D$99&gt;0,$D$99*0.5,0)</f>
        <v>0</v>
      </c>
    </row>
    <row r="100" spans="2:11" ht="14.25" x14ac:dyDescent="0.2">
      <c r="B100" s="580" t="s">
        <v>268</v>
      </c>
      <c r="C100" s="580"/>
      <c r="D100" s="386">
        <f>$D$98+$D$99</f>
        <v>0</v>
      </c>
      <c r="E100" s="580" t="s">
        <v>269</v>
      </c>
      <c r="F100" s="580"/>
      <c r="G100" s="386">
        <f>$G$98+$G$99</f>
        <v>0</v>
      </c>
    </row>
    <row r="101" spans="2:11" ht="14.25" x14ac:dyDescent="0.2">
      <c r="B101" s="307"/>
      <c r="C101" s="307"/>
      <c r="D101" s="307"/>
      <c r="E101" s="307"/>
      <c r="F101" s="335" t="s">
        <v>272</v>
      </c>
      <c r="G101" s="387">
        <f>IF($D$98=0,0,' Planning &amp; Design Cost'!$I$26)</f>
        <v>0</v>
      </c>
    </row>
    <row r="102" spans="2:11" x14ac:dyDescent="0.2">
      <c r="B102" s="321"/>
      <c r="C102" s="321"/>
      <c r="D102" s="321"/>
      <c r="E102" s="321"/>
      <c r="F102" s="321"/>
      <c r="G102" s="322"/>
    </row>
    <row r="103" spans="2:11" ht="15" x14ac:dyDescent="0.2">
      <c r="B103" s="581" t="s">
        <v>314</v>
      </c>
      <c r="C103" s="581"/>
      <c r="D103" s="581"/>
      <c r="E103" s="581" t="s">
        <v>338</v>
      </c>
      <c r="F103" s="581"/>
      <c r="G103" s="581"/>
    </row>
    <row r="104" spans="2:11" x14ac:dyDescent="0.2">
      <c r="B104" s="379" t="s">
        <v>315</v>
      </c>
      <c r="C104" s="380"/>
      <c r="D104" s="381">
        <f>$G$70</f>
        <v>0</v>
      </c>
      <c r="E104" s="382" t="s">
        <v>315</v>
      </c>
      <c r="F104" s="383"/>
      <c r="G104" s="384">
        <f>IF($D$104&gt;0,$D$104*0.5,0)</f>
        <v>0</v>
      </c>
    </row>
    <row r="105" spans="2:11" x14ac:dyDescent="0.2">
      <c r="B105" s="382" t="s">
        <v>89</v>
      </c>
      <c r="C105" s="385"/>
      <c r="D105" s="381">
        <f>$G$72</f>
        <v>0</v>
      </c>
      <c r="E105" s="382" t="s">
        <v>89</v>
      </c>
      <c r="F105" s="383"/>
      <c r="G105" s="384">
        <f>IF($D$105&gt;0,$D$105*0.5,0)</f>
        <v>0</v>
      </c>
    </row>
    <row r="106" spans="2:11" ht="14.25" x14ac:dyDescent="0.2">
      <c r="B106" s="580" t="s">
        <v>268</v>
      </c>
      <c r="C106" s="580"/>
      <c r="D106" s="386">
        <f>$D$104+$D$105</f>
        <v>0</v>
      </c>
      <c r="E106" s="580" t="s">
        <v>269</v>
      </c>
      <c r="F106" s="580"/>
      <c r="G106" s="386">
        <f>$G$104+$G$105</f>
        <v>0</v>
      </c>
    </row>
    <row r="107" spans="2:11" ht="14.25" x14ac:dyDescent="0.2">
      <c r="B107" s="307"/>
      <c r="C107" s="307"/>
      <c r="D107" s="307"/>
      <c r="E107" s="307"/>
      <c r="F107" s="335" t="s">
        <v>272</v>
      </c>
      <c r="G107" s="387">
        <f>IF($D$104=0,0,' Planning &amp; Design Cost'!$I$38)</f>
        <v>0</v>
      </c>
    </row>
    <row r="108" spans="2:11" x14ac:dyDescent="0.2">
      <c r="B108" s="307"/>
      <c r="C108" s="307"/>
      <c r="D108" s="307"/>
      <c r="E108" s="307"/>
      <c r="F108" s="388"/>
      <c r="G108" s="389"/>
    </row>
    <row r="109" spans="2:11" ht="15" x14ac:dyDescent="0.2">
      <c r="B109" s="581" t="s">
        <v>339</v>
      </c>
      <c r="C109" s="581"/>
      <c r="D109" s="581"/>
      <c r="E109" s="581" t="s">
        <v>340</v>
      </c>
      <c r="F109" s="581"/>
      <c r="G109" s="581"/>
    </row>
    <row r="110" spans="2:11" x14ac:dyDescent="0.2">
      <c r="B110" s="379" t="s">
        <v>315</v>
      </c>
      <c r="C110" s="380"/>
      <c r="D110" s="381">
        <f>$G$82</f>
        <v>0</v>
      </c>
      <c r="E110" s="382" t="s">
        <v>315</v>
      </c>
      <c r="F110" s="383"/>
      <c r="G110" s="384">
        <f>IF($D$110&gt;0,$D$110*0.5,0)</f>
        <v>0</v>
      </c>
    </row>
    <row r="111" spans="2:11" x14ac:dyDescent="0.2">
      <c r="B111" s="382" t="s">
        <v>89</v>
      </c>
      <c r="C111" s="385"/>
      <c r="D111" s="381">
        <f>$G$84</f>
        <v>0</v>
      </c>
      <c r="E111" s="382" t="s">
        <v>89</v>
      </c>
      <c r="F111" s="383"/>
      <c r="G111" s="384">
        <f>IF($D$111&gt;0,$D$111*0.5,0)</f>
        <v>0</v>
      </c>
    </row>
    <row r="112" spans="2:11" ht="14.25" x14ac:dyDescent="0.2">
      <c r="B112" s="580" t="s">
        <v>268</v>
      </c>
      <c r="C112" s="580"/>
      <c r="D112" s="386">
        <f>$D$110+$D$111</f>
        <v>0</v>
      </c>
      <c r="E112" s="580" t="s">
        <v>269</v>
      </c>
      <c r="F112" s="580"/>
      <c r="G112" s="386">
        <f>$G$110+$G$111</f>
        <v>0</v>
      </c>
    </row>
    <row r="113" spans="2:7" ht="14.25" x14ac:dyDescent="0.2">
      <c r="B113" s="307"/>
      <c r="C113" s="307"/>
      <c r="D113" s="307"/>
      <c r="E113" s="307"/>
      <c r="F113" s="335" t="s">
        <v>272</v>
      </c>
      <c r="G113" s="387">
        <f>IF($D$110=0,0,' Planning &amp; Design Cost'!$I$51)</f>
        <v>0</v>
      </c>
    </row>
    <row r="114" spans="2:7" x14ac:dyDescent="0.2">
      <c r="B114" s="307"/>
      <c r="C114" s="307"/>
      <c r="D114" s="307"/>
      <c r="E114" s="307"/>
      <c r="F114" s="388"/>
      <c r="G114" s="389"/>
    </row>
    <row r="115" spans="2:7" ht="22.5" customHeight="1" x14ac:dyDescent="0.25">
      <c r="D115" s="577" t="s">
        <v>341</v>
      </c>
      <c r="E115" s="582"/>
      <c r="F115" s="583"/>
      <c r="G115" s="390"/>
    </row>
    <row r="116" spans="2:7" x14ac:dyDescent="0.2">
      <c r="D116" s="391" t="s">
        <v>154</v>
      </c>
      <c r="E116" s="391" t="s">
        <v>336</v>
      </c>
      <c r="F116" s="391" t="s">
        <v>317</v>
      </c>
      <c r="G116" s="392"/>
    </row>
    <row r="117" spans="2:7" ht="14.25" x14ac:dyDescent="0.2">
      <c r="D117" s="393">
        <f>$F$117-$E$117</f>
        <v>0</v>
      </c>
      <c r="E117" s="393">
        <f>MIN($G$100,$G$101)</f>
        <v>0</v>
      </c>
      <c r="F117" s="393">
        <f>$D$100</f>
        <v>0</v>
      </c>
      <c r="G117" s="394"/>
    </row>
    <row r="118" spans="2:7" x14ac:dyDescent="0.2">
      <c r="D118" s="307"/>
      <c r="E118" s="307"/>
      <c r="F118" s="307"/>
    </row>
    <row r="119" spans="2:7" ht="21" customHeight="1" x14ac:dyDescent="0.2">
      <c r="B119" s="324"/>
      <c r="D119" s="577" t="s">
        <v>342</v>
      </c>
      <c r="E119" s="582"/>
      <c r="F119" s="583"/>
    </row>
    <row r="120" spans="2:7" x14ac:dyDescent="0.2">
      <c r="D120" s="391" t="s">
        <v>154</v>
      </c>
      <c r="E120" s="391" t="s">
        <v>336</v>
      </c>
      <c r="F120" s="391" t="s">
        <v>317</v>
      </c>
    </row>
    <row r="121" spans="2:7" ht="14.25" x14ac:dyDescent="0.2">
      <c r="D121" s="393">
        <f>$F$121-$E$121</f>
        <v>0</v>
      </c>
      <c r="E121" s="393">
        <f>MIN($G$106,$G$107)</f>
        <v>0</v>
      </c>
      <c r="F121" s="393">
        <f>$D$106</f>
        <v>0</v>
      </c>
    </row>
    <row r="122" spans="2:7" x14ac:dyDescent="0.2">
      <c r="D122" s="307"/>
      <c r="E122" s="307"/>
      <c r="F122" s="307"/>
    </row>
    <row r="123" spans="2:7" ht="19.5" customHeight="1" x14ac:dyDescent="0.2">
      <c r="D123" s="577" t="s">
        <v>343</v>
      </c>
      <c r="E123" s="578"/>
      <c r="F123" s="579"/>
    </row>
    <row r="124" spans="2:7" x14ac:dyDescent="0.2">
      <c r="D124" s="391" t="s">
        <v>154</v>
      </c>
      <c r="E124" s="391" t="s">
        <v>316</v>
      </c>
      <c r="F124" s="391" t="s">
        <v>317</v>
      </c>
    </row>
    <row r="125" spans="2:7" ht="14.25" x14ac:dyDescent="0.2">
      <c r="D125" s="393">
        <f>$F$125-$E$125</f>
        <v>0</v>
      </c>
      <c r="E125" s="393">
        <f>MIN($G$112,$G$113)</f>
        <v>0</v>
      </c>
      <c r="F125" s="393">
        <f>$D$112</f>
        <v>0</v>
      </c>
    </row>
    <row r="126" spans="2:7" x14ac:dyDescent="0.2">
      <c r="D126" s="307"/>
      <c r="E126" s="307"/>
      <c r="F126" s="307"/>
    </row>
    <row r="127" spans="2:7" ht="21" customHeight="1" x14ac:dyDescent="0.25">
      <c r="D127" s="577" t="s">
        <v>344</v>
      </c>
      <c r="E127" s="578"/>
      <c r="F127" s="579"/>
      <c r="G127" s="395"/>
    </row>
    <row r="128" spans="2:7" x14ac:dyDescent="0.2">
      <c r="D128" s="391" t="s">
        <v>154</v>
      </c>
      <c r="E128" s="391" t="s">
        <v>336</v>
      </c>
      <c r="F128" s="391" t="s">
        <v>317</v>
      </c>
    </row>
    <row r="129" spans="4:6" ht="14.25" x14ac:dyDescent="0.2">
      <c r="D129" s="396">
        <f>$F$129-$E$129</f>
        <v>0</v>
      </c>
      <c r="E129" s="396">
        <f>MIN(($G$100+$G$106),($G$101+$G$107))</f>
        <v>0</v>
      </c>
      <c r="F129" s="396">
        <f>$D$100+$D$106</f>
        <v>0</v>
      </c>
    </row>
    <row r="130" spans="4:6" x14ac:dyDescent="0.2">
      <c r="D130" s="397"/>
      <c r="E130" s="397"/>
      <c r="F130" s="397"/>
    </row>
    <row r="131" spans="4:6" ht="15" x14ac:dyDescent="0.2">
      <c r="D131" s="400"/>
      <c r="E131" s="400"/>
      <c r="F131" s="400"/>
    </row>
    <row r="132" spans="4:6" x14ac:dyDescent="0.2">
      <c r="D132" s="398"/>
      <c r="E132" s="398"/>
      <c r="F132" s="398"/>
    </row>
    <row r="133" spans="4:6" ht="14.25" x14ac:dyDescent="0.2">
      <c r="D133" s="399"/>
      <c r="E133" s="399"/>
      <c r="F133" s="399"/>
    </row>
  </sheetData>
  <sheetProtection algorithmName="SHA-512" hashValue="RoE+db5Dt46eMdWKr/TNe3qXyAfbvsBqObQn4twIi/IsPPESGbZm0QHjArAq0A3BEsr1jh7ARWWCO3GUknPNKQ==" saltValue="kayX9bqKFDr9VzQAe4zCuA==" spinCount="100000" sheet="1" formatCells="0"/>
  <mergeCells count="97">
    <mergeCell ref="A27:D27"/>
    <mergeCell ref="B19:D19"/>
    <mergeCell ref="B18:D18"/>
    <mergeCell ref="B48:G48"/>
    <mergeCell ref="A40:B40"/>
    <mergeCell ref="D40:E40"/>
    <mergeCell ref="C42:E42"/>
    <mergeCell ref="C45:D45"/>
    <mergeCell ref="A29:C31"/>
    <mergeCell ref="A32:D32"/>
    <mergeCell ref="A13:C13"/>
    <mergeCell ref="A14:D14"/>
    <mergeCell ref="A15:D15"/>
    <mergeCell ref="A16:D16"/>
    <mergeCell ref="A25:C26"/>
    <mergeCell ref="A1:F1"/>
    <mergeCell ref="A2:D2"/>
    <mergeCell ref="E2:F2"/>
    <mergeCell ref="A3:D3"/>
    <mergeCell ref="A4:F4"/>
    <mergeCell ref="H2:I2"/>
    <mergeCell ref="H3:I3"/>
    <mergeCell ref="B12:D12"/>
    <mergeCell ref="B20:D20"/>
    <mergeCell ref="A28:D28"/>
    <mergeCell ref="A21:C21"/>
    <mergeCell ref="A22:D22"/>
    <mergeCell ref="B17:D17"/>
    <mergeCell ref="A6:D6"/>
    <mergeCell ref="B7:D7"/>
    <mergeCell ref="B8:D8"/>
    <mergeCell ref="B9:D9"/>
    <mergeCell ref="B10:D10"/>
    <mergeCell ref="B11:D11"/>
    <mergeCell ref="B23:D23"/>
    <mergeCell ref="B24:D24"/>
    <mergeCell ref="A34:C34"/>
    <mergeCell ref="D34:F34"/>
    <mergeCell ref="A39:B39"/>
    <mergeCell ref="B49:E49"/>
    <mergeCell ref="B50:E50"/>
    <mergeCell ref="B51:G51"/>
    <mergeCell ref="B53:E53"/>
    <mergeCell ref="C54:E54"/>
    <mergeCell ref="B60:E60"/>
    <mergeCell ref="B61:E61"/>
    <mergeCell ref="B95:F95"/>
    <mergeCell ref="B62:E62"/>
    <mergeCell ref="B65:E65"/>
    <mergeCell ref="C55:E55"/>
    <mergeCell ref="C56:E56"/>
    <mergeCell ref="C57:E57"/>
    <mergeCell ref="B58:D58"/>
    <mergeCell ref="B59:E59"/>
    <mergeCell ref="B91:E91"/>
    <mergeCell ref="D119:F119"/>
    <mergeCell ref="B97:D97"/>
    <mergeCell ref="E97:G97"/>
    <mergeCell ref="B71:E71"/>
    <mergeCell ref="B72:E72"/>
    <mergeCell ref="B73:E73"/>
    <mergeCell ref="B74:E74"/>
    <mergeCell ref="C78:E78"/>
    <mergeCell ref="C79:E79"/>
    <mergeCell ref="C80:E80"/>
    <mergeCell ref="B77:E77"/>
    <mergeCell ref="C81:E81"/>
    <mergeCell ref="B82:D82"/>
    <mergeCell ref="B83:E83"/>
    <mergeCell ref="B84:E84"/>
    <mergeCell ref="B88:G88"/>
    <mergeCell ref="B64:G64"/>
    <mergeCell ref="B76:G76"/>
    <mergeCell ref="B75:E75"/>
    <mergeCell ref="D127:F127"/>
    <mergeCell ref="B100:C100"/>
    <mergeCell ref="E100:F100"/>
    <mergeCell ref="B103:D103"/>
    <mergeCell ref="E103:G103"/>
    <mergeCell ref="B106:C106"/>
    <mergeCell ref="E106:F106"/>
    <mergeCell ref="B109:D109"/>
    <mergeCell ref="E109:G109"/>
    <mergeCell ref="B112:C112"/>
    <mergeCell ref="E112:F112"/>
    <mergeCell ref="D123:F123"/>
    <mergeCell ref="D115:F115"/>
    <mergeCell ref="B92:D94"/>
    <mergeCell ref="C66:E66"/>
    <mergeCell ref="C67:E67"/>
    <mergeCell ref="C68:E68"/>
    <mergeCell ref="C69:E69"/>
    <mergeCell ref="B70:D70"/>
    <mergeCell ref="B89:E89"/>
    <mergeCell ref="B90:E90"/>
    <mergeCell ref="B85:E85"/>
    <mergeCell ref="B86:E8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54EAC-178F-46CF-8170-59018F883FC7}">
  <dimension ref="A1:V378"/>
  <sheetViews>
    <sheetView showGridLines="0" zoomScaleNormal="100" workbookViewId="0">
      <pane ySplit="17" topLeftCell="A18" activePane="bottomLeft" state="frozenSplit"/>
      <selection pane="bottomLeft" activeCell="D9" sqref="D9"/>
    </sheetView>
  </sheetViews>
  <sheetFormatPr defaultRowHeight="12.75" x14ac:dyDescent="0.2"/>
  <cols>
    <col min="1" max="1" width="4.7109375" style="289" customWidth="1"/>
    <col min="2" max="2" width="13.28515625" style="290" customWidth="1"/>
    <col min="3" max="3" width="15.42578125" style="290" customWidth="1"/>
    <col min="4" max="4" width="15.140625" style="290" bestFit="1" customWidth="1"/>
    <col min="5" max="5" width="12.140625" style="290" customWidth="1"/>
    <col min="6" max="6" width="14.42578125" style="290" customWidth="1"/>
    <col min="7" max="7" width="14.140625" style="290" customWidth="1"/>
    <col min="8" max="8" width="14.140625" style="290" bestFit="1" customWidth="1"/>
    <col min="9" max="9" width="15" style="290" bestFit="1" customWidth="1"/>
    <col min="10" max="10" width="13" style="290" customWidth="1"/>
    <col min="11" max="11" width="15" style="232" bestFit="1" customWidth="1"/>
    <col min="12" max="12" width="11.85546875" style="232" customWidth="1"/>
    <col min="13" max="13" width="12.28515625" style="232" customWidth="1"/>
    <col min="14" max="14" width="12.140625" style="232" customWidth="1"/>
    <col min="15" max="15" width="10.85546875" style="232" customWidth="1"/>
    <col min="16" max="256" width="9.140625" style="232"/>
    <col min="257" max="257" width="4.7109375" style="232" customWidth="1"/>
    <col min="258" max="258" width="13.28515625" style="232" customWidth="1"/>
    <col min="259" max="259" width="15.42578125" style="232" customWidth="1"/>
    <col min="260" max="260" width="15.140625" style="232" bestFit="1" customWidth="1"/>
    <col min="261" max="261" width="12.140625" style="232" customWidth="1"/>
    <col min="262" max="262" width="14.42578125" style="232" customWidth="1"/>
    <col min="263" max="263" width="14.140625" style="232" customWidth="1"/>
    <col min="264" max="264" width="14.140625" style="232" bestFit="1" customWidth="1"/>
    <col min="265" max="265" width="15" style="232" bestFit="1" customWidth="1"/>
    <col min="266" max="266" width="13" style="232" customWidth="1"/>
    <col min="267" max="267" width="15" style="232" bestFit="1" customWidth="1"/>
    <col min="268" max="268" width="11.85546875" style="232" customWidth="1"/>
    <col min="269" max="269" width="12.28515625" style="232" customWidth="1"/>
    <col min="270" max="270" width="12.140625" style="232" customWidth="1"/>
    <col min="271" max="271" width="10.85546875" style="232" customWidth="1"/>
    <col min="272" max="512" width="9.140625" style="232"/>
    <col min="513" max="513" width="4.7109375" style="232" customWidth="1"/>
    <col min="514" max="514" width="13.28515625" style="232" customWidth="1"/>
    <col min="515" max="515" width="15.42578125" style="232" customWidth="1"/>
    <col min="516" max="516" width="15.140625" style="232" bestFit="1" customWidth="1"/>
    <col min="517" max="517" width="12.140625" style="232" customWidth="1"/>
    <col min="518" max="518" width="14.42578125" style="232" customWidth="1"/>
    <col min="519" max="519" width="14.140625" style="232" customWidth="1"/>
    <col min="520" max="520" width="14.140625" style="232" bestFit="1" customWidth="1"/>
    <col min="521" max="521" width="15" style="232" bestFit="1" customWidth="1"/>
    <col min="522" max="522" width="13" style="232" customWidth="1"/>
    <col min="523" max="523" width="15" style="232" bestFit="1" customWidth="1"/>
    <col min="524" max="524" width="11.85546875" style="232" customWidth="1"/>
    <col min="525" max="525" width="12.28515625" style="232" customWidth="1"/>
    <col min="526" max="526" width="12.140625" style="232" customWidth="1"/>
    <col min="527" max="527" width="10.85546875" style="232" customWidth="1"/>
    <col min="528" max="768" width="9.140625" style="232"/>
    <col min="769" max="769" width="4.7109375" style="232" customWidth="1"/>
    <col min="770" max="770" width="13.28515625" style="232" customWidth="1"/>
    <col min="771" max="771" width="15.42578125" style="232" customWidth="1"/>
    <col min="772" max="772" width="15.140625" style="232" bestFit="1" customWidth="1"/>
    <col min="773" max="773" width="12.140625" style="232" customWidth="1"/>
    <col min="774" max="774" width="14.42578125" style="232" customWidth="1"/>
    <col min="775" max="775" width="14.140625" style="232" customWidth="1"/>
    <col min="776" max="776" width="14.140625" style="232" bestFit="1" customWidth="1"/>
    <col min="777" max="777" width="15" style="232" bestFit="1" customWidth="1"/>
    <col min="778" max="778" width="13" style="232" customWidth="1"/>
    <col min="779" max="779" width="15" style="232" bestFit="1" customWidth="1"/>
    <col min="780" max="780" width="11.85546875" style="232" customWidth="1"/>
    <col min="781" max="781" width="12.28515625" style="232" customWidth="1"/>
    <col min="782" max="782" width="12.140625" style="232" customWidth="1"/>
    <col min="783" max="783" width="10.85546875" style="232" customWidth="1"/>
    <col min="784" max="1024" width="9.140625" style="232"/>
    <col min="1025" max="1025" width="4.7109375" style="232" customWidth="1"/>
    <col min="1026" max="1026" width="13.28515625" style="232" customWidth="1"/>
    <col min="1027" max="1027" width="15.42578125" style="232" customWidth="1"/>
    <col min="1028" max="1028" width="15.140625" style="232" bestFit="1" customWidth="1"/>
    <col min="1029" max="1029" width="12.140625" style="232" customWidth="1"/>
    <col min="1030" max="1030" width="14.42578125" style="232" customWidth="1"/>
    <col min="1031" max="1031" width="14.140625" style="232" customWidth="1"/>
    <col min="1032" max="1032" width="14.140625" style="232" bestFit="1" customWidth="1"/>
    <col min="1033" max="1033" width="15" style="232" bestFit="1" customWidth="1"/>
    <col min="1034" max="1034" width="13" style="232" customWidth="1"/>
    <col min="1035" max="1035" width="15" style="232" bestFit="1" customWidth="1"/>
    <col min="1036" max="1036" width="11.85546875" style="232" customWidth="1"/>
    <col min="1037" max="1037" width="12.28515625" style="232" customWidth="1"/>
    <col min="1038" max="1038" width="12.140625" style="232" customWidth="1"/>
    <col min="1039" max="1039" width="10.85546875" style="232" customWidth="1"/>
    <col min="1040" max="1280" width="9.140625" style="232"/>
    <col min="1281" max="1281" width="4.7109375" style="232" customWidth="1"/>
    <col min="1282" max="1282" width="13.28515625" style="232" customWidth="1"/>
    <col min="1283" max="1283" width="15.42578125" style="232" customWidth="1"/>
    <col min="1284" max="1284" width="15.140625" style="232" bestFit="1" customWidth="1"/>
    <col min="1285" max="1285" width="12.140625" style="232" customWidth="1"/>
    <col min="1286" max="1286" width="14.42578125" style="232" customWidth="1"/>
    <col min="1287" max="1287" width="14.140625" style="232" customWidth="1"/>
    <col min="1288" max="1288" width="14.140625" style="232" bestFit="1" customWidth="1"/>
    <col min="1289" max="1289" width="15" style="232" bestFit="1" customWidth="1"/>
    <col min="1290" max="1290" width="13" style="232" customWidth="1"/>
    <col min="1291" max="1291" width="15" style="232" bestFit="1" customWidth="1"/>
    <col min="1292" max="1292" width="11.85546875" style="232" customWidth="1"/>
    <col min="1293" max="1293" width="12.28515625" style="232" customWidth="1"/>
    <col min="1294" max="1294" width="12.140625" style="232" customWidth="1"/>
    <col min="1295" max="1295" width="10.85546875" style="232" customWidth="1"/>
    <col min="1296" max="1536" width="9.140625" style="232"/>
    <col min="1537" max="1537" width="4.7109375" style="232" customWidth="1"/>
    <col min="1538" max="1538" width="13.28515625" style="232" customWidth="1"/>
    <col min="1539" max="1539" width="15.42578125" style="232" customWidth="1"/>
    <col min="1540" max="1540" width="15.140625" style="232" bestFit="1" customWidth="1"/>
    <col min="1541" max="1541" width="12.140625" style="232" customWidth="1"/>
    <col min="1542" max="1542" width="14.42578125" style="232" customWidth="1"/>
    <col min="1543" max="1543" width="14.140625" style="232" customWidth="1"/>
    <col min="1544" max="1544" width="14.140625" style="232" bestFit="1" customWidth="1"/>
    <col min="1545" max="1545" width="15" style="232" bestFit="1" customWidth="1"/>
    <col min="1546" max="1546" width="13" style="232" customWidth="1"/>
    <col min="1547" max="1547" width="15" style="232" bestFit="1" customWidth="1"/>
    <col min="1548" max="1548" width="11.85546875" style="232" customWidth="1"/>
    <col min="1549" max="1549" width="12.28515625" style="232" customWidth="1"/>
    <col min="1550" max="1550" width="12.140625" style="232" customWidth="1"/>
    <col min="1551" max="1551" width="10.85546875" style="232" customWidth="1"/>
    <col min="1552" max="1792" width="9.140625" style="232"/>
    <col min="1793" max="1793" width="4.7109375" style="232" customWidth="1"/>
    <col min="1794" max="1794" width="13.28515625" style="232" customWidth="1"/>
    <col min="1795" max="1795" width="15.42578125" style="232" customWidth="1"/>
    <col min="1796" max="1796" width="15.140625" style="232" bestFit="1" customWidth="1"/>
    <col min="1797" max="1797" width="12.140625" style="232" customWidth="1"/>
    <col min="1798" max="1798" width="14.42578125" style="232" customWidth="1"/>
    <col min="1799" max="1799" width="14.140625" style="232" customWidth="1"/>
    <col min="1800" max="1800" width="14.140625" style="232" bestFit="1" customWidth="1"/>
    <col min="1801" max="1801" width="15" style="232" bestFit="1" customWidth="1"/>
    <col min="1802" max="1802" width="13" style="232" customWidth="1"/>
    <col min="1803" max="1803" width="15" style="232" bestFit="1" customWidth="1"/>
    <col min="1804" max="1804" width="11.85546875" style="232" customWidth="1"/>
    <col min="1805" max="1805" width="12.28515625" style="232" customWidth="1"/>
    <col min="1806" max="1806" width="12.140625" style="232" customWidth="1"/>
    <col min="1807" max="1807" width="10.85546875" style="232" customWidth="1"/>
    <col min="1808" max="2048" width="9.140625" style="232"/>
    <col min="2049" max="2049" width="4.7109375" style="232" customWidth="1"/>
    <col min="2050" max="2050" width="13.28515625" style="232" customWidth="1"/>
    <col min="2051" max="2051" width="15.42578125" style="232" customWidth="1"/>
    <col min="2052" max="2052" width="15.140625" style="232" bestFit="1" customWidth="1"/>
    <col min="2053" max="2053" width="12.140625" style="232" customWidth="1"/>
    <col min="2054" max="2054" width="14.42578125" style="232" customWidth="1"/>
    <col min="2055" max="2055" width="14.140625" style="232" customWidth="1"/>
    <col min="2056" max="2056" width="14.140625" style="232" bestFit="1" customWidth="1"/>
    <col min="2057" max="2057" width="15" style="232" bestFit="1" customWidth="1"/>
    <col min="2058" max="2058" width="13" style="232" customWidth="1"/>
    <col min="2059" max="2059" width="15" style="232" bestFit="1" customWidth="1"/>
    <col min="2060" max="2060" width="11.85546875" style="232" customWidth="1"/>
    <col min="2061" max="2061" width="12.28515625" style="232" customWidth="1"/>
    <col min="2062" max="2062" width="12.140625" style="232" customWidth="1"/>
    <col min="2063" max="2063" width="10.85546875" style="232" customWidth="1"/>
    <col min="2064" max="2304" width="9.140625" style="232"/>
    <col min="2305" max="2305" width="4.7109375" style="232" customWidth="1"/>
    <col min="2306" max="2306" width="13.28515625" style="232" customWidth="1"/>
    <col min="2307" max="2307" width="15.42578125" style="232" customWidth="1"/>
    <col min="2308" max="2308" width="15.140625" style="232" bestFit="1" customWidth="1"/>
    <col min="2309" max="2309" width="12.140625" style="232" customWidth="1"/>
    <col min="2310" max="2310" width="14.42578125" style="232" customWidth="1"/>
    <col min="2311" max="2311" width="14.140625" style="232" customWidth="1"/>
    <col min="2312" max="2312" width="14.140625" style="232" bestFit="1" customWidth="1"/>
    <col min="2313" max="2313" width="15" style="232" bestFit="1" customWidth="1"/>
    <col min="2314" max="2314" width="13" style="232" customWidth="1"/>
    <col min="2315" max="2315" width="15" style="232" bestFit="1" customWidth="1"/>
    <col min="2316" max="2316" width="11.85546875" style="232" customWidth="1"/>
    <col min="2317" max="2317" width="12.28515625" style="232" customWidth="1"/>
    <col min="2318" max="2318" width="12.140625" style="232" customWidth="1"/>
    <col min="2319" max="2319" width="10.85546875" style="232" customWidth="1"/>
    <col min="2320" max="2560" width="9.140625" style="232"/>
    <col min="2561" max="2561" width="4.7109375" style="232" customWidth="1"/>
    <col min="2562" max="2562" width="13.28515625" style="232" customWidth="1"/>
    <col min="2563" max="2563" width="15.42578125" style="232" customWidth="1"/>
    <col min="2564" max="2564" width="15.140625" style="232" bestFit="1" customWidth="1"/>
    <col min="2565" max="2565" width="12.140625" style="232" customWidth="1"/>
    <col min="2566" max="2566" width="14.42578125" style="232" customWidth="1"/>
    <col min="2567" max="2567" width="14.140625" style="232" customWidth="1"/>
    <col min="2568" max="2568" width="14.140625" style="232" bestFit="1" customWidth="1"/>
    <col min="2569" max="2569" width="15" style="232" bestFit="1" customWidth="1"/>
    <col min="2570" max="2570" width="13" style="232" customWidth="1"/>
    <col min="2571" max="2571" width="15" style="232" bestFit="1" customWidth="1"/>
    <col min="2572" max="2572" width="11.85546875" style="232" customWidth="1"/>
    <col min="2573" max="2573" width="12.28515625" style="232" customWidth="1"/>
    <col min="2574" max="2574" width="12.140625" style="232" customWidth="1"/>
    <col min="2575" max="2575" width="10.85546875" style="232" customWidth="1"/>
    <col min="2576" max="2816" width="9.140625" style="232"/>
    <col min="2817" max="2817" width="4.7109375" style="232" customWidth="1"/>
    <col min="2818" max="2818" width="13.28515625" style="232" customWidth="1"/>
    <col min="2819" max="2819" width="15.42578125" style="232" customWidth="1"/>
    <col min="2820" max="2820" width="15.140625" style="232" bestFit="1" customWidth="1"/>
    <col min="2821" max="2821" width="12.140625" style="232" customWidth="1"/>
    <col min="2822" max="2822" width="14.42578125" style="232" customWidth="1"/>
    <col min="2823" max="2823" width="14.140625" style="232" customWidth="1"/>
    <col min="2824" max="2824" width="14.140625" style="232" bestFit="1" customWidth="1"/>
    <col min="2825" max="2825" width="15" style="232" bestFit="1" customWidth="1"/>
    <col min="2826" max="2826" width="13" style="232" customWidth="1"/>
    <col min="2827" max="2827" width="15" style="232" bestFit="1" customWidth="1"/>
    <col min="2828" max="2828" width="11.85546875" style="232" customWidth="1"/>
    <col min="2829" max="2829" width="12.28515625" style="232" customWidth="1"/>
    <col min="2830" max="2830" width="12.140625" style="232" customWidth="1"/>
    <col min="2831" max="2831" width="10.85546875" style="232" customWidth="1"/>
    <col min="2832" max="3072" width="9.140625" style="232"/>
    <col min="3073" max="3073" width="4.7109375" style="232" customWidth="1"/>
    <col min="3074" max="3074" width="13.28515625" style="232" customWidth="1"/>
    <col min="3075" max="3075" width="15.42578125" style="232" customWidth="1"/>
    <col min="3076" max="3076" width="15.140625" style="232" bestFit="1" customWidth="1"/>
    <col min="3077" max="3077" width="12.140625" style="232" customWidth="1"/>
    <col min="3078" max="3078" width="14.42578125" style="232" customWidth="1"/>
    <col min="3079" max="3079" width="14.140625" style="232" customWidth="1"/>
    <col min="3080" max="3080" width="14.140625" style="232" bestFit="1" customWidth="1"/>
    <col min="3081" max="3081" width="15" style="232" bestFit="1" customWidth="1"/>
    <col min="3082" max="3082" width="13" style="232" customWidth="1"/>
    <col min="3083" max="3083" width="15" style="232" bestFit="1" customWidth="1"/>
    <col min="3084" max="3084" width="11.85546875" style="232" customWidth="1"/>
    <col min="3085" max="3085" width="12.28515625" style="232" customWidth="1"/>
    <col min="3086" max="3086" width="12.140625" style="232" customWidth="1"/>
    <col min="3087" max="3087" width="10.85546875" style="232" customWidth="1"/>
    <col min="3088" max="3328" width="9.140625" style="232"/>
    <col min="3329" max="3329" width="4.7109375" style="232" customWidth="1"/>
    <col min="3330" max="3330" width="13.28515625" style="232" customWidth="1"/>
    <col min="3331" max="3331" width="15.42578125" style="232" customWidth="1"/>
    <col min="3332" max="3332" width="15.140625" style="232" bestFit="1" customWidth="1"/>
    <col min="3333" max="3333" width="12.140625" style="232" customWidth="1"/>
    <col min="3334" max="3334" width="14.42578125" style="232" customWidth="1"/>
    <col min="3335" max="3335" width="14.140625" style="232" customWidth="1"/>
    <col min="3336" max="3336" width="14.140625" style="232" bestFit="1" customWidth="1"/>
    <col min="3337" max="3337" width="15" style="232" bestFit="1" customWidth="1"/>
    <col min="3338" max="3338" width="13" style="232" customWidth="1"/>
    <col min="3339" max="3339" width="15" style="232" bestFit="1" customWidth="1"/>
    <col min="3340" max="3340" width="11.85546875" style="232" customWidth="1"/>
    <col min="3341" max="3341" width="12.28515625" style="232" customWidth="1"/>
    <col min="3342" max="3342" width="12.140625" style="232" customWidth="1"/>
    <col min="3343" max="3343" width="10.85546875" style="232" customWidth="1"/>
    <col min="3344" max="3584" width="9.140625" style="232"/>
    <col min="3585" max="3585" width="4.7109375" style="232" customWidth="1"/>
    <col min="3586" max="3586" width="13.28515625" style="232" customWidth="1"/>
    <col min="3587" max="3587" width="15.42578125" style="232" customWidth="1"/>
    <col min="3588" max="3588" width="15.140625" style="232" bestFit="1" customWidth="1"/>
    <col min="3589" max="3589" width="12.140625" style="232" customWidth="1"/>
    <col min="3590" max="3590" width="14.42578125" style="232" customWidth="1"/>
    <col min="3591" max="3591" width="14.140625" style="232" customWidth="1"/>
    <col min="3592" max="3592" width="14.140625" style="232" bestFit="1" customWidth="1"/>
    <col min="3593" max="3593" width="15" style="232" bestFit="1" customWidth="1"/>
    <col min="3594" max="3594" width="13" style="232" customWidth="1"/>
    <col min="3595" max="3595" width="15" style="232" bestFit="1" customWidth="1"/>
    <col min="3596" max="3596" width="11.85546875" style="232" customWidth="1"/>
    <col min="3597" max="3597" width="12.28515625" style="232" customWidth="1"/>
    <col min="3598" max="3598" width="12.140625" style="232" customWidth="1"/>
    <col min="3599" max="3599" width="10.85546875" style="232" customWidth="1"/>
    <col min="3600" max="3840" width="9.140625" style="232"/>
    <col min="3841" max="3841" width="4.7109375" style="232" customWidth="1"/>
    <col min="3842" max="3842" width="13.28515625" style="232" customWidth="1"/>
    <col min="3843" max="3843" width="15.42578125" style="232" customWidth="1"/>
    <col min="3844" max="3844" width="15.140625" style="232" bestFit="1" customWidth="1"/>
    <col min="3845" max="3845" width="12.140625" style="232" customWidth="1"/>
    <col min="3846" max="3846" width="14.42578125" style="232" customWidth="1"/>
    <col min="3847" max="3847" width="14.140625" style="232" customWidth="1"/>
    <col min="3848" max="3848" width="14.140625" style="232" bestFit="1" customWidth="1"/>
    <col min="3849" max="3849" width="15" style="232" bestFit="1" customWidth="1"/>
    <col min="3850" max="3850" width="13" style="232" customWidth="1"/>
    <col min="3851" max="3851" width="15" style="232" bestFit="1" customWidth="1"/>
    <col min="3852" max="3852" width="11.85546875" style="232" customWidth="1"/>
    <col min="3853" max="3853" width="12.28515625" style="232" customWidth="1"/>
    <col min="3854" max="3854" width="12.140625" style="232" customWidth="1"/>
    <col min="3855" max="3855" width="10.85546875" style="232" customWidth="1"/>
    <col min="3856" max="4096" width="9.140625" style="232"/>
    <col min="4097" max="4097" width="4.7109375" style="232" customWidth="1"/>
    <col min="4098" max="4098" width="13.28515625" style="232" customWidth="1"/>
    <col min="4099" max="4099" width="15.42578125" style="232" customWidth="1"/>
    <col min="4100" max="4100" width="15.140625" style="232" bestFit="1" customWidth="1"/>
    <col min="4101" max="4101" width="12.140625" style="232" customWidth="1"/>
    <col min="4102" max="4102" width="14.42578125" style="232" customWidth="1"/>
    <col min="4103" max="4103" width="14.140625" style="232" customWidth="1"/>
    <col min="4104" max="4104" width="14.140625" style="232" bestFit="1" customWidth="1"/>
    <col min="4105" max="4105" width="15" style="232" bestFit="1" customWidth="1"/>
    <col min="4106" max="4106" width="13" style="232" customWidth="1"/>
    <col min="4107" max="4107" width="15" style="232" bestFit="1" customWidth="1"/>
    <col min="4108" max="4108" width="11.85546875" style="232" customWidth="1"/>
    <col min="4109" max="4109" width="12.28515625" style="232" customWidth="1"/>
    <col min="4110" max="4110" width="12.140625" style="232" customWidth="1"/>
    <col min="4111" max="4111" width="10.85546875" style="232" customWidth="1"/>
    <col min="4112" max="4352" width="9.140625" style="232"/>
    <col min="4353" max="4353" width="4.7109375" style="232" customWidth="1"/>
    <col min="4354" max="4354" width="13.28515625" style="232" customWidth="1"/>
    <col min="4355" max="4355" width="15.42578125" style="232" customWidth="1"/>
    <col min="4356" max="4356" width="15.140625" style="232" bestFit="1" customWidth="1"/>
    <col min="4357" max="4357" width="12.140625" style="232" customWidth="1"/>
    <col min="4358" max="4358" width="14.42578125" style="232" customWidth="1"/>
    <col min="4359" max="4359" width="14.140625" style="232" customWidth="1"/>
    <col min="4360" max="4360" width="14.140625" style="232" bestFit="1" customWidth="1"/>
    <col min="4361" max="4361" width="15" style="232" bestFit="1" customWidth="1"/>
    <col min="4362" max="4362" width="13" style="232" customWidth="1"/>
    <col min="4363" max="4363" width="15" style="232" bestFit="1" customWidth="1"/>
    <col min="4364" max="4364" width="11.85546875" style="232" customWidth="1"/>
    <col min="4365" max="4365" width="12.28515625" style="232" customWidth="1"/>
    <col min="4366" max="4366" width="12.140625" style="232" customWidth="1"/>
    <col min="4367" max="4367" width="10.85546875" style="232" customWidth="1"/>
    <col min="4368" max="4608" width="9.140625" style="232"/>
    <col min="4609" max="4609" width="4.7109375" style="232" customWidth="1"/>
    <col min="4610" max="4610" width="13.28515625" style="232" customWidth="1"/>
    <col min="4611" max="4611" width="15.42578125" style="232" customWidth="1"/>
    <col min="4612" max="4612" width="15.140625" style="232" bestFit="1" customWidth="1"/>
    <col min="4613" max="4613" width="12.140625" style="232" customWidth="1"/>
    <col min="4614" max="4614" width="14.42578125" style="232" customWidth="1"/>
    <col min="4615" max="4615" width="14.140625" style="232" customWidth="1"/>
    <col min="4616" max="4616" width="14.140625" style="232" bestFit="1" customWidth="1"/>
    <col min="4617" max="4617" width="15" style="232" bestFit="1" customWidth="1"/>
    <col min="4618" max="4618" width="13" style="232" customWidth="1"/>
    <col min="4619" max="4619" width="15" style="232" bestFit="1" customWidth="1"/>
    <col min="4620" max="4620" width="11.85546875" style="232" customWidth="1"/>
    <col min="4621" max="4621" width="12.28515625" style="232" customWidth="1"/>
    <col min="4622" max="4622" width="12.140625" style="232" customWidth="1"/>
    <col min="4623" max="4623" width="10.85546875" style="232" customWidth="1"/>
    <col min="4624" max="4864" width="9.140625" style="232"/>
    <col min="4865" max="4865" width="4.7109375" style="232" customWidth="1"/>
    <col min="4866" max="4866" width="13.28515625" style="232" customWidth="1"/>
    <col min="4867" max="4867" width="15.42578125" style="232" customWidth="1"/>
    <col min="4868" max="4868" width="15.140625" style="232" bestFit="1" customWidth="1"/>
    <col min="4869" max="4869" width="12.140625" style="232" customWidth="1"/>
    <col min="4870" max="4870" width="14.42578125" style="232" customWidth="1"/>
    <col min="4871" max="4871" width="14.140625" style="232" customWidth="1"/>
    <col min="4872" max="4872" width="14.140625" style="232" bestFit="1" customWidth="1"/>
    <col min="4873" max="4873" width="15" style="232" bestFit="1" customWidth="1"/>
    <col min="4874" max="4874" width="13" style="232" customWidth="1"/>
    <col min="4875" max="4875" width="15" style="232" bestFit="1" customWidth="1"/>
    <col min="4876" max="4876" width="11.85546875" style="232" customWidth="1"/>
    <col min="4877" max="4877" width="12.28515625" style="232" customWidth="1"/>
    <col min="4878" max="4878" width="12.140625" style="232" customWidth="1"/>
    <col min="4879" max="4879" width="10.85546875" style="232" customWidth="1"/>
    <col min="4880" max="5120" width="9.140625" style="232"/>
    <col min="5121" max="5121" width="4.7109375" style="232" customWidth="1"/>
    <col min="5122" max="5122" width="13.28515625" style="232" customWidth="1"/>
    <col min="5123" max="5123" width="15.42578125" style="232" customWidth="1"/>
    <col min="5124" max="5124" width="15.140625" style="232" bestFit="1" customWidth="1"/>
    <col min="5125" max="5125" width="12.140625" style="232" customWidth="1"/>
    <col min="5126" max="5126" width="14.42578125" style="232" customWidth="1"/>
    <col min="5127" max="5127" width="14.140625" style="232" customWidth="1"/>
    <col min="5128" max="5128" width="14.140625" style="232" bestFit="1" customWidth="1"/>
    <col min="5129" max="5129" width="15" style="232" bestFit="1" customWidth="1"/>
    <col min="5130" max="5130" width="13" style="232" customWidth="1"/>
    <col min="5131" max="5131" width="15" style="232" bestFit="1" customWidth="1"/>
    <col min="5132" max="5132" width="11.85546875" style="232" customWidth="1"/>
    <col min="5133" max="5133" width="12.28515625" style="232" customWidth="1"/>
    <col min="5134" max="5134" width="12.140625" style="232" customWidth="1"/>
    <col min="5135" max="5135" width="10.85546875" style="232" customWidth="1"/>
    <col min="5136" max="5376" width="9.140625" style="232"/>
    <col min="5377" max="5377" width="4.7109375" style="232" customWidth="1"/>
    <col min="5378" max="5378" width="13.28515625" style="232" customWidth="1"/>
    <col min="5379" max="5379" width="15.42578125" style="232" customWidth="1"/>
    <col min="5380" max="5380" width="15.140625" style="232" bestFit="1" customWidth="1"/>
    <col min="5381" max="5381" width="12.140625" style="232" customWidth="1"/>
    <col min="5382" max="5382" width="14.42578125" style="232" customWidth="1"/>
    <col min="5383" max="5383" width="14.140625" style="232" customWidth="1"/>
    <col min="5384" max="5384" width="14.140625" style="232" bestFit="1" customWidth="1"/>
    <col min="5385" max="5385" width="15" style="232" bestFit="1" customWidth="1"/>
    <col min="5386" max="5386" width="13" style="232" customWidth="1"/>
    <col min="5387" max="5387" width="15" style="232" bestFit="1" customWidth="1"/>
    <col min="5388" max="5388" width="11.85546875" style="232" customWidth="1"/>
    <col min="5389" max="5389" width="12.28515625" style="232" customWidth="1"/>
    <col min="5390" max="5390" width="12.140625" style="232" customWidth="1"/>
    <col min="5391" max="5391" width="10.85546875" style="232" customWidth="1"/>
    <col min="5392" max="5632" width="9.140625" style="232"/>
    <col min="5633" max="5633" width="4.7109375" style="232" customWidth="1"/>
    <col min="5634" max="5634" width="13.28515625" style="232" customWidth="1"/>
    <col min="5635" max="5635" width="15.42578125" style="232" customWidth="1"/>
    <col min="5636" max="5636" width="15.140625" style="232" bestFit="1" customWidth="1"/>
    <col min="5637" max="5637" width="12.140625" style="232" customWidth="1"/>
    <col min="5638" max="5638" width="14.42578125" style="232" customWidth="1"/>
    <col min="5639" max="5639" width="14.140625" style="232" customWidth="1"/>
    <col min="5640" max="5640" width="14.140625" style="232" bestFit="1" customWidth="1"/>
    <col min="5641" max="5641" width="15" style="232" bestFit="1" customWidth="1"/>
    <col min="5642" max="5642" width="13" style="232" customWidth="1"/>
    <col min="5643" max="5643" width="15" style="232" bestFit="1" customWidth="1"/>
    <col min="5644" max="5644" width="11.85546875" style="232" customWidth="1"/>
    <col min="5645" max="5645" width="12.28515625" style="232" customWidth="1"/>
    <col min="5646" max="5646" width="12.140625" style="232" customWidth="1"/>
    <col min="5647" max="5647" width="10.85546875" style="232" customWidth="1"/>
    <col min="5648" max="5888" width="9.140625" style="232"/>
    <col min="5889" max="5889" width="4.7109375" style="232" customWidth="1"/>
    <col min="5890" max="5890" width="13.28515625" style="232" customWidth="1"/>
    <col min="5891" max="5891" width="15.42578125" style="232" customWidth="1"/>
    <col min="5892" max="5892" width="15.140625" style="232" bestFit="1" customWidth="1"/>
    <col min="5893" max="5893" width="12.140625" style="232" customWidth="1"/>
    <col min="5894" max="5894" width="14.42578125" style="232" customWidth="1"/>
    <col min="5895" max="5895" width="14.140625" style="232" customWidth="1"/>
    <col min="5896" max="5896" width="14.140625" style="232" bestFit="1" customWidth="1"/>
    <col min="5897" max="5897" width="15" style="232" bestFit="1" customWidth="1"/>
    <col min="5898" max="5898" width="13" style="232" customWidth="1"/>
    <col min="5899" max="5899" width="15" style="232" bestFit="1" customWidth="1"/>
    <col min="5900" max="5900" width="11.85546875" style="232" customWidth="1"/>
    <col min="5901" max="5901" width="12.28515625" style="232" customWidth="1"/>
    <col min="5902" max="5902" width="12.140625" style="232" customWidth="1"/>
    <col min="5903" max="5903" width="10.85546875" style="232" customWidth="1"/>
    <col min="5904" max="6144" width="9.140625" style="232"/>
    <col min="6145" max="6145" width="4.7109375" style="232" customWidth="1"/>
    <col min="6146" max="6146" width="13.28515625" style="232" customWidth="1"/>
    <col min="6147" max="6147" width="15.42578125" style="232" customWidth="1"/>
    <col min="6148" max="6148" width="15.140625" style="232" bestFit="1" customWidth="1"/>
    <col min="6149" max="6149" width="12.140625" style="232" customWidth="1"/>
    <col min="6150" max="6150" width="14.42578125" style="232" customWidth="1"/>
    <col min="6151" max="6151" width="14.140625" style="232" customWidth="1"/>
    <col min="6152" max="6152" width="14.140625" style="232" bestFit="1" customWidth="1"/>
    <col min="6153" max="6153" width="15" style="232" bestFit="1" customWidth="1"/>
    <col min="6154" max="6154" width="13" style="232" customWidth="1"/>
    <col min="6155" max="6155" width="15" style="232" bestFit="1" customWidth="1"/>
    <col min="6156" max="6156" width="11.85546875" style="232" customWidth="1"/>
    <col min="6157" max="6157" width="12.28515625" style="232" customWidth="1"/>
    <col min="6158" max="6158" width="12.140625" style="232" customWidth="1"/>
    <col min="6159" max="6159" width="10.85546875" style="232" customWidth="1"/>
    <col min="6160" max="6400" width="9.140625" style="232"/>
    <col min="6401" max="6401" width="4.7109375" style="232" customWidth="1"/>
    <col min="6402" max="6402" width="13.28515625" style="232" customWidth="1"/>
    <col min="6403" max="6403" width="15.42578125" style="232" customWidth="1"/>
    <col min="6404" max="6404" width="15.140625" style="232" bestFit="1" customWidth="1"/>
    <col min="6405" max="6405" width="12.140625" style="232" customWidth="1"/>
    <col min="6406" max="6406" width="14.42578125" style="232" customWidth="1"/>
    <col min="6407" max="6407" width="14.140625" style="232" customWidth="1"/>
    <col min="6408" max="6408" width="14.140625" style="232" bestFit="1" customWidth="1"/>
    <col min="6409" max="6409" width="15" style="232" bestFit="1" customWidth="1"/>
    <col min="6410" max="6410" width="13" style="232" customWidth="1"/>
    <col min="6411" max="6411" width="15" style="232" bestFit="1" customWidth="1"/>
    <col min="6412" max="6412" width="11.85546875" style="232" customWidth="1"/>
    <col min="6413" max="6413" width="12.28515625" style="232" customWidth="1"/>
    <col min="6414" max="6414" width="12.140625" style="232" customWidth="1"/>
    <col min="6415" max="6415" width="10.85546875" style="232" customWidth="1"/>
    <col min="6416" max="6656" width="9.140625" style="232"/>
    <col min="6657" max="6657" width="4.7109375" style="232" customWidth="1"/>
    <col min="6658" max="6658" width="13.28515625" style="232" customWidth="1"/>
    <col min="6659" max="6659" width="15.42578125" style="232" customWidth="1"/>
    <col min="6660" max="6660" width="15.140625" style="232" bestFit="1" customWidth="1"/>
    <col min="6661" max="6661" width="12.140625" style="232" customWidth="1"/>
    <col min="6662" max="6662" width="14.42578125" style="232" customWidth="1"/>
    <col min="6663" max="6663" width="14.140625" style="232" customWidth="1"/>
    <col min="6664" max="6664" width="14.140625" style="232" bestFit="1" customWidth="1"/>
    <col min="6665" max="6665" width="15" style="232" bestFit="1" customWidth="1"/>
    <col min="6666" max="6666" width="13" style="232" customWidth="1"/>
    <col min="6667" max="6667" width="15" style="232" bestFit="1" customWidth="1"/>
    <col min="6668" max="6668" width="11.85546875" style="232" customWidth="1"/>
    <col min="6669" max="6669" width="12.28515625" style="232" customWidth="1"/>
    <col min="6670" max="6670" width="12.140625" style="232" customWidth="1"/>
    <col min="6671" max="6671" width="10.85546875" style="232" customWidth="1"/>
    <col min="6672" max="6912" width="9.140625" style="232"/>
    <col min="6913" max="6913" width="4.7109375" style="232" customWidth="1"/>
    <col min="6914" max="6914" width="13.28515625" style="232" customWidth="1"/>
    <col min="6915" max="6915" width="15.42578125" style="232" customWidth="1"/>
    <col min="6916" max="6916" width="15.140625" style="232" bestFit="1" customWidth="1"/>
    <col min="6917" max="6917" width="12.140625" style="232" customWidth="1"/>
    <col min="6918" max="6918" width="14.42578125" style="232" customWidth="1"/>
    <col min="6919" max="6919" width="14.140625" style="232" customWidth="1"/>
    <col min="6920" max="6920" width="14.140625" style="232" bestFit="1" customWidth="1"/>
    <col min="6921" max="6921" width="15" style="232" bestFit="1" customWidth="1"/>
    <col min="6922" max="6922" width="13" style="232" customWidth="1"/>
    <col min="6923" max="6923" width="15" style="232" bestFit="1" customWidth="1"/>
    <col min="6924" max="6924" width="11.85546875" style="232" customWidth="1"/>
    <col min="6925" max="6925" width="12.28515625" style="232" customWidth="1"/>
    <col min="6926" max="6926" width="12.140625" style="232" customWidth="1"/>
    <col min="6927" max="6927" width="10.85546875" style="232" customWidth="1"/>
    <col min="6928" max="7168" width="9.140625" style="232"/>
    <col min="7169" max="7169" width="4.7109375" style="232" customWidth="1"/>
    <col min="7170" max="7170" width="13.28515625" style="232" customWidth="1"/>
    <col min="7171" max="7171" width="15.42578125" style="232" customWidth="1"/>
    <col min="7172" max="7172" width="15.140625" style="232" bestFit="1" customWidth="1"/>
    <col min="7173" max="7173" width="12.140625" style="232" customWidth="1"/>
    <col min="7174" max="7174" width="14.42578125" style="232" customWidth="1"/>
    <col min="7175" max="7175" width="14.140625" style="232" customWidth="1"/>
    <col min="7176" max="7176" width="14.140625" style="232" bestFit="1" customWidth="1"/>
    <col min="7177" max="7177" width="15" style="232" bestFit="1" customWidth="1"/>
    <col min="7178" max="7178" width="13" style="232" customWidth="1"/>
    <col min="7179" max="7179" width="15" style="232" bestFit="1" customWidth="1"/>
    <col min="7180" max="7180" width="11.85546875" style="232" customWidth="1"/>
    <col min="7181" max="7181" width="12.28515625" style="232" customWidth="1"/>
    <col min="7182" max="7182" width="12.140625" style="232" customWidth="1"/>
    <col min="7183" max="7183" width="10.85546875" style="232" customWidth="1"/>
    <col min="7184" max="7424" width="9.140625" style="232"/>
    <col min="7425" max="7425" width="4.7109375" style="232" customWidth="1"/>
    <col min="7426" max="7426" width="13.28515625" style="232" customWidth="1"/>
    <col min="7427" max="7427" width="15.42578125" style="232" customWidth="1"/>
    <col min="7428" max="7428" width="15.140625" style="232" bestFit="1" customWidth="1"/>
    <col min="7429" max="7429" width="12.140625" style="232" customWidth="1"/>
    <col min="7430" max="7430" width="14.42578125" style="232" customWidth="1"/>
    <col min="7431" max="7431" width="14.140625" style="232" customWidth="1"/>
    <col min="7432" max="7432" width="14.140625" style="232" bestFit="1" customWidth="1"/>
    <col min="7433" max="7433" width="15" style="232" bestFit="1" customWidth="1"/>
    <col min="7434" max="7434" width="13" style="232" customWidth="1"/>
    <col min="7435" max="7435" width="15" style="232" bestFit="1" customWidth="1"/>
    <col min="7436" max="7436" width="11.85546875" style="232" customWidth="1"/>
    <col min="7437" max="7437" width="12.28515625" style="232" customWidth="1"/>
    <col min="7438" max="7438" width="12.140625" style="232" customWidth="1"/>
    <col min="7439" max="7439" width="10.85546875" style="232" customWidth="1"/>
    <col min="7440" max="7680" width="9.140625" style="232"/>
    <col min="7681" max="7681" width="4.7109375" style="232" customWidth="1"/>
    <col min="7682" max="7682" width="13.28515625" style="232" customWidth="1"/>
    <col min="7683" max="7683" width="15.42578125" style="232" customWidth="1"/>
    <col min="7684" max="7684" width="15.140625" style="232" bestFit="1" customWidth="1"/>
    <col min="7685" max="7685" width="12.140625" style="232" customWidth="1"/>
    <col min="7686" max="7686" width="14.42578125" style="232" customWidth="1"/>
    <col min="7687" max="7687" width="14.140625" style="232" customWidth="1"/>
    <col min="7688" max="7688" width="14.140625" style="232" bestFit="1" customWidth="1"/>
    <col min="7689" max="7689" width="15" style="232" bestFit="1" customWidth="1"/>
    <col min="7690" max="7690" width="13" style="232" customWidth="1"/>
    <col min="7691" max="7691" width="15" style="232" bestFit="1" customWidth="1"/>
    <col min="7692" max="7692" width="11.85546875" style="232" customWidth="1"/>
    <col min="7693" max="7693" width="12.28515625" style="232" customWidth="1"/>
    <col min="7694" max="7694" width="12.140625" style="232" customWidth="1"/>
    <col min="7695" max="7695" width="10.85546875" style="232" customWidth="1"/>
    <col min="7696" max="7936" width="9.140625" style="232"/>
    <col min="7937" max="7937" width="4.7109375" style="232" customWidth="1"/>
    <col min="7938" max="7938" width="13.28515625" style="232" customWidth="1"/>
    <col min="7939" max="7939" width="15.42578125" style="232" customWidth="1"/>
    <col min="7940" max="7940" width="15.140625" style="232" bestFit="1" customWidth="1"/>
    <col min="7941" max="7941" width="12.140625" style="232" customWidth="1"/>
    <col min="7942" max="7942" width="14.42578125" style="232" customWidth="1"/>
    <col min="7943" max="7943" width="14.140625" style="232" customWidth="1"/>
    <col min="7944" max="7944" width="14.140625" style="232" bestFit="1" customWidth="1"/>
    <col min="7945" max="7945" width="15" style="232" bestFit="1" customWidth="1"/>
    <col min="7946" max="7946" width="13" style="232" customWidth="1"/>
    <col min="7947" max="7947" width="15" style="232" bestFit="1" customWidth="1"/>
    <col min="7948" max="7948" width="11.85546875" style="232" customWidth="1"/>
    <col min="7949" max="7949" width="12.28515625" style="232" customWidth="1"/>
    <col min="7950" max="7950" width="12.140625" style="232" customWidth="1"/>
    <col min="7951" max="7951" width="10.85546875" style="232" customWidth="1"/>
    <col min="7952" max="8192" width="9.140625" style="232"/>
    <col min="8193" max="8193" width="4.7109375" style="232" customWidth="1"/>
    <col min="8194" max="8194" width="13.28515625" style="232" customWidth="1"/>
    <col min="8195" max="8195" width="15.42578125" style="232" customWidth="1"/>
    <col min="8196" max="8196" width="15.140625" style="232" bestFit="1" customWidth="1"/>
    <col min="8197" max="8197" width="12.140625" style="232" customWidth="1"/>
    <col min="8198" max="8198" width="14.42578125" style="232" customWidth="1"/>
    <col min="8199" max="8199" width="14.140625" style="232" customWidth="1"/>
    <col min="8200" max="8200" width="14.140625" style="232" bestFit="1" customWidth="1"/>
    <col min="8201" max="8201" width="15" style="232" bestFit="1" customWidth="1"/>
    <col min="8202" max="8202" width="13" style="232" customWidth="1"/>
    <col min="8203" max="8203" width="15" style="232" bestFit="1" customWidth="1"/>
    <col min="8204" max="8204" width="11.85546875" style="232" customWidth="1"/>
    <col min="8205" max="8205" width="12.28515625" style="232" customWidth="1"/>
    <col min="8206" max="8206" width="12.140625" style="232" customWidth="1"/>
    <col min="8207" max="8207" width="10.85546875" style="232" customWidth="1"/>
    <col min="8208" max="8448" width="9.140625" style="232"/>
    <col min="8449" max="8449" width="4.7109375" style="232" customWidth="1"/>
    <col min="8450" max="8450" width="13.28515625" style="232" customWidth="1"/>
    <col min="8451" max="8451" width="15.42578125" style="232" customWidth="1"/>
    <col min="8452" max="8452" width="15.140625" style="232" bestFit="1" customWidth="1"/>
    <col min="8453" max="8453" width="12.140625" style="232" customWidth="1"/>
    <col min="8454" max="8454" width="14.42578125" style="232" customWidth="1"/>
    <col min="8455" max="8455" width="14.140625" style="232" customWidth="1"/>
    <col min="8456" max="8456" width="14.140625" style="232" bestFit="1" customWidth="1"/>
    <col min="8457" max="8457" width="15" style="232" bestFit="1" customWidth="1"/>
    <col min="8458" max="8458" width="13" style="232" customWidth="1"/>
    <col min="8459" max="8459" width="15" style="232" bestFit="1" customWidth="1"/>
    <col min="8460" max="8460" width="11.85546875" style="232" customWidth="1"/>
    <col min="8461" max="8461" width="12.28515625" style="232" customWidth="1"/>
    <col min="8462" max="8462" width="12.140625" style="232" customWidth="1"/>
    <col min="8463" max="8463" width="10.85546875" style="232" customWidth="1"/>
    <col min="8464" max="8704" width="9.140625" style="232"/>
    <col min="8705" max="8705" width="4.7109375" style="232" customWidth="1"/>
    <col min="8706" max="8706" width="13.28515625" style="232" customWidth="1"/>
    <col min="8707" max="8707" width="15.42578125" style="232" customWidth="1"/>
    <col min="8708" max="8708" width="15.140625" style="232" bestFit="1" customWidth="1"/>
    <col min="8709" max="8709" width="12.140625" style="232" customWidth="1"/>
    <col min="8710" max="8710" width="14.42578125" style="232" customWidth="1"/>
    <col min="8711" max="8711" width="14.140625" style="232" customWidth="1"/>
    <col min="8712" max="8712" width="14.140625" style="232" bestFit="1" customWidth="1"/>
    <col min="8713" max="8713" width="15" style="232" bestFit="1" customWidth="1"/>
    <col min="8714" max="8714" width="13" style="232" customWidth="1"/>
    <col min="8715" max="8715" width="15" style="232" bestFit="1" customWidth="1"/>
    <col min="8716" max="8716" width="11.85546875" style="232" customWidth="1"/>
    <col min="8717" max="8717" width="12.28515625" style="232" customWidth="1"/>
    <col min="8718" max="8718" width="12.140625" style="232" customWidth="1"/>
    <col min="8719" max="8719" width="10.85546875" style="232" customWidth="1"/>
    <col min="8720" max="8960" width="9.140625" style="232"/>
    <col min="8961" max="8961" width="4.7109375" style="232" customWidth="1"/>
    <col min="8962" max="8962" width="13.28515625" style="232" customWidth="1"/>
    <col min="8963" max="8963" width="15.42578125" style="232" customWidth="1"/>
    <col min="8964" max="8964" width="15.140625" style="232" bestFit="1" customWidth="1"/>
    <col min="8965" max="8965" width="12.140625" style="232" customWidth="1"/>
    <col min="8966" max="8966" width="14.42578125" style="232" customWidth="1"/>
    <col min="8967" max="8967" width="14.140625" style="232" customWidth="1"/>
    <col min="8968" max="8968" width="14.140625" style="232" bestFit="1" customWidth="1"/>
    <col min="8969" max="8969" width="15" style="232" bestFit="1" customWidth="1"/>
    <col min="8970" max="8970" width="13" style="232" customWidth="1"/>
    <col min="8971" max="8971" width="15" style="232" bestFit="1" customWidth="1"/>
    <col min="8972" max="8972" width="11.85546875" style="232" customWidth="1"/>
    <col min="8973" max="8973" width="12.28515625" style="232" customWidth="1"/>
    <col min="8974" max="8974" width="12.140625" style="232" customWidth="1"/>
    <col min="8975" max="8975" width="10.85546875" style="232" customWidth="1"/>
    <col min="8976" max="9216" width="9.140625" style="232"/>
    <col min="9217" max="9217" width="4.7109375" style="232" customWidth="1"/>
    <col min="9218" max="9218" width="13.28515625" style="232" customWidth="1"/>
    <col min="9219" max="9219" width="15.42578125" style="232" customWidth="1"/>
    <col min="9220" max="9220" width="15.140625" style="232" bestFit="1" customWidth="1"/>
    <col min="9221" max="9221" width="12.140625" style="232" customWidth="1"/>
    <col min="9222" max="9222" width="14.42578125" style="232" customWidth="1"/>
    <col min="9223" max="9223" width="14.140625" style="232" customWidth="1"/>
    <col min="9224" max="9224" width="14.140625" style="232" bestFit="1" customWidth="1"/>
    <col min="9225" max="9225" width="15" style="232" bestFit="1" customWidth="1"/>
    <col min="9226" max="9226" width="13" style="232" customWidth="1"/>
    <col min="9227" max="9227" width="15" style="232" bestFit="1" customWidth="1"/>
    <col min="9228" max="9228" width="11.85546875" style="232" customWidth="1"/>
    <col min="9229" max="9229" width="12.28515625" style="232" customWidth="1"/>
    <col min="9230" max="9230" width="12.140625" style="232" customWidth="1"/>
    <col min="9231" max="9231" width="10.85546875" style="232" customWidth="1"/>
    <col min="9232" max="9472" width="9.140625" style="232"/>
    <col min="9473" max="9473" width="4.7109375" style="232" customWidth="1"/>
    <col min="9474" max="9474" width="13.28515625" style="232" customWidth="1"/>
    <col min="9475" max="9475" width="15.42578125" style="232" customWidth="1"/>
    <col min="9476" max="9476" width="15.140625" style="232" bestFit="1" customWidth="1"/>
    <col min="9477" max="9477" width="12.140625" style="232" customWidth="1"/>
    <col min="9478" max="9478" width="14.42578125" style="232" customWidth="1"/>
    <col min="9479" max="9479" width="14.140625" style="232" customWidth="1"/>
    <col min="9480" max="9480" width="14.140625" style="232" bestFit="1" customWidth="1"/>
    <col min="9481" max="9481" width="15" style="232" bestFit="1" customWidth="1"/>
    <col min="9482" max="9482" width="13" style="232" customWidth="1"/>
    <col min="9483" max="9483" width="15" style="232" bestFit="1" customWidth="1"/>
    <col min="9484" max="9484" width="11.85546875" style="232" customWidth="1"/>
    <col min="9485" max="9485" width="12.28515625" style="232" customWidth="1"/>
    <col min="9486" max="9486" width="12.140625" style="232" customWidth="1"/>
    <col min="9487" max="9487" width="10.85546875" style="232" customWidth="1"/>
    <col min="9488" max="9728" width="9.140625" style="232"/>
    <col min="9729" max="9729" width="4.7109375" style="232" customWidth="1"/>
    <col min="9730" max="9730" width="13.28515625" style="232" customWidth="1"/>
    <col min="9731" max="9731" width="15.42578125" style="232" customWidth="1"/>
    <col min="9732" max="9732" width="15.140625" style="232" bestFit="1" customWidth="1"/>
    <col min="9733" max="9733" width="12.140625" style="232" customWidth="1"/>
    <col min="9734" max="9734" width="14.42578125" style="232" customWidth="1"/>
    <col min="9735" max="9735" width="14.140625" style="232" customWidth="1"/>
    <col min="9736" max="9736" width="14.140625" style="232" bestFit="1" customWidth="1"/>
    <col min="9737" max="9737" width="15" style="232" bestFit="1" customWidth="1"/>
    <col min="9738" max="9738" width="13" style="232" customWidth="1"/>
    <col min="9739" max="9739" width="15" style="232" bestFit="1" customWidth="1"/>
    <col min="9740" max="9740" width="11.85546875" style="232" customWidth="1"/>
    <col min="9741" max="9741" width="12.28515625" style="232" customWidth="1"/>
    <col min="9742" max="9742" width="12.140625" style="232" customWidth="1"/>
    <col min="9743" max="9743" width="10.85546875" style="232" customWidth="1"/>
    <col min="9744" max="9984" width="9.140625" style="232"/>
    <col min="9985" max="9985" width="4.7109375" style="232" customWidth="1"/>
    <col min="9986" max="9986" width="13.28515625" style="232" customWidth="1"/>
    <col min="9987" max="9987" width="15.42578125" style="232" customWidth="1"/>
    <col min="9988" max="9988" width="15.140625" style="232" bestFit="1" customWidth="1"/>
    <col min="9989" max="9989" width="12.140625" style="232" customWidth="1"/>
    <col min="9990" max="9990" width="14.42578125" style="232" customWidth="1"/>
    <col min="9991" max="9991" width="14.140625" style="232" customWidth="1"/>
    <col min="9992" max="9992" width="14.140625" style="232" bestFit="1" customWidth="1"/>
    <col min="9993" max="9993" width="15" style="232" bestFit="1" customWidth="1"/>
    <col min="9994" max="9994" width="13" style="232" customWidth="1"/>
    <col min="9995" max="9995" width="15" style="232" bestFit="1" customWidth="1"/>
    <col min="9996" max="9996" width="11.85546875" style="232" customWidth="1"/>
    <col min="9997" max="9997" width="12.28515625" style="232" customWidth="1"/>
    <col min="9998" max="9998" width="12.140625" style="232" customWidth="1"/>
    <col min="9999" max="9999" width="10.85546875" style="232" customWidth="1"/>
    <col min="10000" max="10240" width="9.140625" style="232"/>
    <col min="10241" max="10241" width="4.7109375" style="232" customWidth="1"/>
    <col min="10242" max="10242" width="13.28515625" style="232" customWidth="1"/>
    <col min="10243" max="10243" width="15.42578125" style="232" customWidth="1"/>
    <col min="10244" max="10244" width="15.140625" style="232" bestFit="1" customWidth="1"/>
    <col min="10245" max="10245" width="12.140625" style="232" customWidth="1"/>
    <col min="10246" max="10246" width="14.42578125" style="232" customWidth="1"/>
    <col min="10247" max="10247" width="14.140625" style="232" customWidth="1"/>
    <col min="10248" max="10248" width="14.140625" style="232" bestFit="1" customWidth="1"/>
    <col min="10249" max="10249" width="15" style="232" bestFit="1" customWidth="1"/>
    <col min="10250" max="10250" width="13" style="232" customWidth="1"/>
    <col min="10251" max="10251" width="15" style="232" bestFit="1" customWidth="1"/>
    <col min="10252" max="10252" width="11.85546875" style="232" customWidth="1"/>
    <col min="10253" max="10253" width="12.28515625" style="232" customWidth="1"/>
    <col min="10254" max="10254" width="12.140625" style="232" customWidth="1"/>
    <col min="10255" max="10255" width="10.85546875" style="232" customWidth="1"/>
    <col min="10256" max="10496" width="9.140625" style="232"/>
    <col min="10497" max="10497" width="4.7109375" style="232" customWidth="1"/>
    <col min="10498" max="10498" width="13.28515625" style="232" customWidth="1"/>
    <col min="10499" max="10499" width="15.42578125" style="232" customWidth="1"/>
    <col min="10500" max="10500" width="15.140625" style="232" bestFit="1" customWidth="1"/>
    <col min="10501" max="10501" width="12.140625" style="232" customWidth="1"/>
    <col min="10502" max="10502" width="14.42578125" style="232" customWidth="1"/>
    <col min="10503" max="10503" width="14.140625" style="232" customWidth="1"/>
    <col min="10504" max="10504" width="14.140625" style="232" bestFit="1" customWidth="1"/>
    <col min="10505" max="10505" width="15" style="232" bestFit="1" customWidth="1"/>
    <col min="10506" max="10506" width="13" style="232" customWidth="1"/>
    <col min="10507" max="10507" width="15" style="232" bestFit="1" customWidth="1"/>
    <col min="10508" max="10508" width="11.85546875" style="232" customWidth="1"/>
    <col min="10509" max="10509" width="12.28515625" style="232" customWidth="1"/>
    <col min="10510" max="10510" width="12.140625" style="232" customWidth="1"/>
    <col min="10511" max="10511" width="10.85546875" style="232" customWidth="1"/>
    <col min="10512" max="10752" width="9.140625" style="232"/>
    <col min="10753" max="10753" width="4.7109375" style="232" customWidth="1"/>
    <col min="10754" max="10754" width="13.28515625" style="232" customWidth="1"/>
    <col min="10755" max="10755" width="15.42578125" style="232" customWidth="1"/>
    <col min="10756" max="10756" width="15.140625" style="232" bestFit="1" customWidth="1"/>
    <col min="10757" max="10757" width="12.140625" style="232" customWidth="1"/>
    <col min="10758" max="10758" width="14.42578125" style="232" customWidth="1"/>
    <col min="10759" max="10759" width="14.140625" style="232" customWidth="1"/>
    <col min="10760" max="10760" width="14.140625" style="232" bestFit="1" customWidth="1"/>
    <col min="10761" max="10761" width="15" style="232" bestFit="1" customWidth="1"/>
    <col min="10762" max="10762" width="13" style="232" customWidth="1"/>
    <col min="10763" max="10763" width="15" style="232" bestFit="1" customWidth="1"/>
    <col min="10764" max="10764" width="11.85546875" style="232" customWidth="1"/>
    <col min="10765" max="10765" width="12.28515625" style="232" customWidth="1"/>
    <col min="10766" max="10766" width="12.140625" style="232" customWidth="1"/>
    <col min="10767" max="10767" width="10.85546875" style="232" customWidth="1"/>
    <col min="10768" max="11008" width="9.140625" style="232"/>
    <col min="11009" max="11009" width="4.7109375" style="232" customWidth="1"/>
    <col min="11010" max="11010" width="13.28515625" style="232" customWidth="1"/>
    <col min="11011" max="11011" width="15.42578125" style="232" customWidth="1"/>
    <col min="11012" max="11012" width="15.140625" style="232" bestFit="1" customWidth="1"/>
    <col min="11013" max="11013" width="12.140625" style="232" customWidth="1"/>
    <col min="11014" max="11014" width="14.42578125" style="232" customWidth="1"/>
    <col min="11015" max="11015" width="14.140625" style="232" customWidth="1"/>
    <col min="11016" max="11016" width="14.140625" style="232" bestFit="1" customWidth="1"/>
    <col min="11017" max="11017" width="15" style="232" bestFit="1" customWidth="1"/>
    <col min="11018" max="11018" width="13" style="232" customWidth="1"/>
    <col min="11019" max="11019" width="15" style="232" bestFit="1" customWidth="1"/>
    <col min="11020" max="11020" width="11.85546875" style="232" customWidth="1"/>
    <col min="11021" max="11021" width="12.28515625" style="232" customWidth="1"/>
    <col min="11022" max="11022" width="12.140625" style="232" customWidth="1"/>
    <col min="11023" max="11023" width="10.85546875" style="232" customWidth="1"/>
    <col min="11024" max="11264" width="9.140625" style="232"/>
    <col min="11265" max="11265" width="4.7109375" style="232" customWidth="1"/>
    <col min="11266" max="11266" width="13.28515625" style="232" customWidth="1"/>
    <col min="11267" max="11267" width="15.42578125" style="232" customWidth="1"/>
    <col min="11268" max="11268" width="15.140625" style="232" bestFit="1" customWidth="1"/>
    <col min="11269" max="11269" width="12.140625" style="232" customWidth="1"/>
    <col min="11270" max="11270" width="14.42578125" style="232" customWidth="1"/>
    <col min="11271" max="11271" width="14.140625" style="232" customWidth="1"/>
    <col min="11272" max="11272" width="14.140625" style="232" bestFit="1" customWidth="1"/>
    <col min="11273" max="11273" width="15" style="232" bestFit="1" customWidth="1"/>
    <col min="11274" max="11274" width="13" style="232" customWidth="1"/>
    <col min="11275" max="11275" width="15" style="232" bestFit="1" customWidth="1"/>
    <col min="11276" max="11276" width="11.85546875" style="232" customWidth="1"/>
    <col min="11277" max="11277" width="12.28515625" style="232" customWidth="1"/>
    <col min="11278" max="11278" width="12.140625" style="232" customWidth="1"/>
    <col min="11279" max="11279" width="10.85546875" style="232" customWidth="1"/>
    <col min="11280" max="11520" width="9.140625" style="232"/>
    <col min="11521" max="11521" width="4.7109375" style="232" customWidth="1"/>
    <col min="11522" max="11522" width="13.28515625" style="232" customWidth="1"/>
    <col min="11523" max="11523" width="15.42578125" style="232" customWidth="1"/>
    <col min="11524" max="11524" width="15.140625" style="232" bestFit="1" customWidth="1"/>
    <col min="11525" max="11525" width="12.140625" style="232" customWidth="1"/>
    <col min="11526" max="11526" width="14.42578125" style="232" customWidth="1"/>
    <col min="11527" max="11527" width="14.140625" style="232" customWidth="1"/>
    <col min="11528" max="11528" width="14.140625" style="232" bestFit="1" customWidth="1"/>
    <col min="11529" max="11529" width="15" style="232" bestFit="1" customWidth="1"/>
    <col min="11530" max="11530" width="13" style="232" customWidth="1"/>
    <col min="11531" max="11531" width="15" style="232" bestFit="1" customWidth="1"/>
    <col min="11532" max="11532" width="11.85546875" style="232" customWidth="1"/>
    <col min="11533" max="11533" width="12.28515625" style="232" customWidth="1"/>
    <col min="11534" max="11534" width="12.140625" style="232" customWidth="1"/>
    <col min="11535" max="11535" width="10.85546875" style="232" customWidth="1"/>
    <col min="11536" max="11776" width="9.140625" style="232"/>
    <col min="11777" max="11777" width="4.7109375" style="232" customWidth="1"/>
    <col min="11778" max="11778" width="13.28515625" style="232" customWidth="1"/>
    <col min="11779" max="11779" width="15.42578125" style="232" customWidth="1"/>
    <col min="11780" max="11780" width="15.140625" style="232" bestFit="1" customWidth="1"/>
    <col min="11781" max="11781" width="12.140625" style="232" customWidth="1"/>
    <col min="11782" max="11782" width="14.42578125" style="232" customWidth="1"/>
    <col min="11783" max="11783" width="14.140625" style="232" customWidth="1"/>
    <col min="11784" max="11784" width="14.140625" style="232" bestFit="1" customWidth="1"/>
    <col min="11785" max="11785" width="15" style="232" bestFit="1" customWidth="1"/>
    <col min="11786" max="11786" width="13" style="232" customWidth="1"/>
    <col min="11787" max="11787" width="15" style="232" bestFit="1" customWidth="1"/>
    <col min="11788" max="11788" width="11.85546875" style="232" customWidth="1"/>
    <col min="11789" max="11789" width="12.28515625" style="232" customWidth="1"/>
    <col min="11790" max="11790" width="12.140625" style="232" customWidth="1"/>
    <col min="11791" max="11791" width="10.85546875" style="232" customWidth="1"/>
    <col min="11792" max="12032" width="9.140625" style="232"/>
    <col min="12033" max="12033" width="4.7109375" style="232" customWidth="1"/>
    <col min="12034" max="12034" width="13.28515625" style="232" customWidth="1"/>
    <col min="12035" max="12035" width="15.42578125" style="232" customWidth="1"/>
    <col min="12036" max="12036" width="15.140625" style="232" bestFit="1" customWidth="1"/>
    <col min="12037" max="12037" width="12.140625" style="232" customWidth="1"/>
    <col min="12038" max="12038" width="14.42578125" style="232" customWidth="1"/>
    <col min="12039" max="12039" width="14.140625" style="232" customWidth="1"/>
    <col min="12040" max="12040" width="14.140625" style="232" bestFit="1" customWidth="1"/>
    <col min="12041" max="12041" width="15" style="232" bestFit="1" customWidth="1"/>
    <col min="12042" max="12042" width="13" style="232" customWidth="1"/>
    <col min="12043" max="12043" width="15" style="232" bestFit="1" customWidth="1"/>
    <col min="12044" max="12044" width="11.85546875" style="232" customWidth="1"/>
    <col min="12045" max="12045" width="12.28515625" style="232" customWidth="1"/>
    <col min="12046" max="12046" width="12.140625" style="232" customWidth="1"/>
    <col min="12047" max="12047" width="10.85546875" style="232" customWidth="1"/>
    <col min="12048" max="12288" width="9.140625" style="232"/>
    <col min="12289" max="12289" width="4.7109375" style="232" customWidth="1"/>
    <col min="12290" max="12290" width="13.28515625" style="232" customWidth="1"/>
    <col min="12291" max="12291" width="15.42578125" style="232" customWidth="1"/>
    <col min="12292" max="12292" width="15.140625" style="232" bestFit="1" customWidth="1"/>
    <col min="12293" max="12293" width="12.140625" style="232" customWidth="1"/>
    <col min="12294" max="12294" width="14.42578125" style="232" customWidth="1"/>
    <col min="12295" max="12295" width="14.140625" style="232" customWidth="1"/>
    <col min="12296" max="12296" width="14.140625" style="232" bestFit="1" customWidth="1"/>
    <col min="12297" max="12297" width="15" style="232" bestFit="1" customWidth="1"/>
    <col min="12298" max="12298" width="13" style="232" customWidth="1"/>
    <col min="12299" max="12299" width="15" style="232" bestFit="1" customWidth="1"/>
    <col min="12300" max="12300" width="11.85546875" style="232" customWidth="1"/>
    <col min="12301" max="12301" width="12.28515625" style="232" customWidth="1"/>
    <col min="12302" max="12302" width="12.140625" style="232" customWidth="1"/>
    <col min="12303" max="12303" width="10.85546875" style="232" customWidth="1"/>
    <col min="12304" max="12544" width="9.140625" style="232"/>
    <col min="12545" max="12545" width="4.7109375" style="232" customWidth="1"/>
    <col min="12546" max="12546" width="13.28515625" style="232" customWidth="1"/>
    <col min="12547" max="12547" width="15.42578125" style="232" customWidth="1"/>
    <col min="12548" max="12548" width="15.140625" style="232" bestFit="1" customWidth="1"/>
    <col min="12549" max="12549" width="12.140625" style="232" customWidth="1"/>
    <col min="12550" max="12550" width="14.42578125" style="232" customWidth="1"/>
    <col min="12551" max="12551" width="14.140625" style="232" customWidth="1"/>
    <col min="12552" max="12552" width="14.140625" style="232" bestFit="1" customWidth="1"/>
    <col min="12553" max="12553" width="15" style="232" bestFit="1" customWidth="1"/>
    <col min="12554" max="12554" width="13" style="232" customWidth="1"/>
    <col min="12555" max="12555" width="15" style="232" bestFit="1" customWidth="1"/>
    <col min="12556" max="12556" width="11.85546875" style="232" customWidth="1"/>
    <col min="12557" max="12557" width="12.28515625" style="232" customWidth="1"/>
    <col min="12558" max="12558" width="12.140625" style="232" customWidth="1"/>
    <col min="12559" max="12559" width="10.85546875" style="232" customWidth="1"/>
    <col min="12560" max="12800" width="9.140625" style="232"/>
    <col min="12801" max="12801" width="4.7109375" style="232" customWidth="1"/>
    <col min="12802" max="12802" width="13.28515625" style="232" customWidth="1"/>
    <col min="12803" max="12803" width="15.42578125" style="232" customWidth="1"/>
    <col min="12804" max="12804" width="15.140625" style="232" bestFit="1" customWidth="1"/>
    <col min="12805" max="12805" width="12.140625" style="232" customWidth="1"/>
    <col min="12806" max="12806" width="14.42578125" style="232" customWidth="1"/>
    <col min="12807" max="12807" width="14.140625" style="232" customWidth="1"/>
    <col min="12808" max="12808" width="14.140625" style="232" bestFit="1" customWidth="1"/>
    <col min="12809" max="12809" width="15" style="232" bestFit="1" customWidth="1"/>
    <col min="12810" max="12810" width="13" style="232" customWidth="1"/>
    <col min="12811" max="12811" width="15" style="232" bestFit="1" customWidth="1"/>
    <col min="12812" max="12812" width="11.85546875" style="232" customWidth="1"/>
    <col min="12813" max="12813" width="12.28515625" style="232" customWidth="1"/>
    <col min="12814" max="12814" width="12.140625" style="232" customWidth="1"/>
    <col min="12815" max="12815" width="10.85546875" style="232" customWidth="1"/>
    <col min="12816" max="13056" width="9.140625" style="232"/>
    <col min="13057" max="13057" width="4.7109375" style="232" customWidth="1"/>
    <col min="13058" max="13058" width="13.28515625" style="232" customWidth="1"/>
    <col min="13059" max="13059" width="15.42578125" style="232" customWidth="1"/>
    <col min="13060" max="13060" width="15.140625" style="232" bestFit="1" customWidth="1"/>
    <col min="13061" max="13061" width="12.140625" style="232" customWidth="1"/>
    <col min="13062" max="13062" width="14.42578125" style="232" customWidth="1"/>
    <col min="13063" max="13063" width="14.140625" style="232" customWidth="1"/>
    <col min="13064" max="13064" width="14.140625" style="232" bestFit="1" customWidth="1"/>
    <col min="13065" max="13065" width="15" style="232" bestFit="1" customWidth="1"/>
    <col min="13066" max="13066" width="13" style="232" customWidth="1"/>
    <col min="13067" max="13067" width="15" style="232" bestFit="1" customWidth="1"/>
    <col min="13068" max="13068" width="11.85546875" style="232" customWidth="1"/>
    <col min="13069" max="13069" width="12.28515625" style="232" customWidth="1"/>
    <col min="13070" max="13070" width="12.140625" style="232" customWidth="1"/>
    <col min="13071" max="13071" width="10.85546875" style="232" customWidth="1"/>
    <col min="13072" max="13312" width="9.140625" style="232"/>
    <col min="13313" max="13313" width="4.7109375" style="232" customWidth="1"/>
    <col min="13314" max="13314" width="13.28515625" style="232" customWidth="1"/>
    <col min="13315" max="13315" width="15.42578125" style="232" customWidth="1"/>
    <col min="13316" max="13316" width="15.140625" style="232" bestFit="1" customWidth="1"/>
    <col min="13317" max="13317" width="12.140625" style="232" customWidth="1"/>
    <col min="13318" max="13318" width="14.42578125" style="232" customWidth="1"/>
    <col min="13319" max="13319" width="14.140625" style="232" customWidth="1"/>
    <col min="13320" max="13320" width="14.140625" style="232" bestFit="1" customWidth="1"/>
    <col min="13321" max="13321" width="15" style="232" bestFit="1" customWidth="1"/>
    <col min="13322" max="13322" width="13" style="232" customWidth="1"/>
    <col min="13323" max="13323" width="15" style="232" bestFit="1" customWidth="1"/>
    <col min="13324" max="13324" width="11.85546875" style="232" customWidth="1"/>
    <col min="13325" max="13325" width="12.28515625" style="232" customWidth="1"/>
    <col min="13326" max="13326" width="12.140625" style="232" customWidth="1"/>
    <col min="13327" max="13327" width="10.85546875" style="232" customWidth="1"/>
    <col min="13328" max="13568" width="9.140625" style="232"/>
    <col min="13569" max="13569" width="4.7109375" style="232" customWidth="1"/>
    <col min="13570" max="13570" width="13.28515625" style="232" customWidth="1"/>
    <col min="13571" max="13571" width="15.42578125" style="232" customWidth="1"/>
    <col min="13572" max="13572" width="15.140625" style="232" bestFit="1" customWidth="1"/>
    <col min="13573" max="13573" width="12.140625" style="232" customWidth="1"/>
    <col min="13574" max="13574" width="14.42578125" style="232" customWidth="1"/>
    <col min="13575" max="13575" width="14.140625" style="232" customWidth="1"/>
    <col min="13576" max="13576" width="14.140625" style="232" bestFit="1" customWidth="1"/>
    <col min="13577" max="13577" width="15" style="232" bestFit="1" customWidth="1"/>
    <col min="13578" max="13578" width="13" style="232" customWidth="1"/>
    <col min="13579" max="13579" width="15" style="232" bestFit="1" customWidth="1"/>
    <col min="13580" max="13580" width="11.85546875" style="232" customWidth="1"/>
    <col min="13581" max="13581" width="12.28515625" style="232" customWidth="1"/>
    <col min="13582" max="13582" width="12.140625" style="232" customWidth="1"/>
    <col min="13583" max="13583" width="10.85546875" style="232" customWidth="1"/>
    <col min="13584" max="13824" width="9.140625" style="232"/>
    <col min="13825" max="13825" width="4.7109375" style="232" customWidth="1"/>
    <col min="13826" max="13826" width="13.28515625" style="232" customWidth="1"/>
    <col min="13827" max="13827" width="15.42578125" style="232" customWidth="1"/>
    <col min="13828" max="13828" width="15.140625" style="232" bestFit="1" customWidth="1"/>
    <col min="13829" max="13829" width="12.140625" style="232" customWidth="1"/>
    <col min="13830" max="13830" width="14.42578125" style="232" customWidth="1"/>
    <col min="13831" max="13831" width="14.140625" style="232" customWidth="1"/>
    <col min="13832" max="13832" width="14.140625" style="232" bestFit="1" customWidth="1"/>
    <col min="13833" max="13833" width="15" style="232" bestFit="1" customWidth="1"/>
    <col min="13834" max="13834" width="13" style="232" customWidth="1"/>
    <col min="13835" max="13835" width="15" style="232" bestFit="1" customWidth="1"/>
    <col min="13836" max="13836" width="11.85546875" style="232" customWidth="1"/>
    <col min="13837" max="13837" width="12.28515625" style="232" customWidth="1"/>
    <col min="13838" max="13838" width="12.140625" style="232" customWidth="1"/>
    <col min="13839" max="13839" width="10.85546875" style="232" customWidth="1"/>
    <col min="13840" max="14080" width="9.140625" style="232"/>
    <col min="14081" max="14081" width="4.7109375" style="232" customWidth="1"/>
    <col min="14082" max="14082" width="13.28515625" style="232" customWidth="1"/>
    <col min="14083" max="14083" width="15.42578125" style="232" customWidth="1"/>
    <col min="14084" max="14084" width="15.140625" style="232" bestFit="1" customWidth="1"/>
    <col min="14085" max="14085" width="12.140625" style="232" customWidth="1"/>
    <col min="14086" max="14086" width="14.42578125" style="232" customWidth="1"/>
    <col min="14087" max="14087" width="14.140625" style="232" customWidth="1"/>
    <col min="14088" max="14088" width="14.140625" style="232" bestFit="1" customWidth="1"/>
    <col min="14089" max="14089" width="15" style="232" bestFit="1" customWidth="1"/>
    <col min="14090" max="14090" width="13" style="232" customWidth="1"/>
    <col min="14091" max="14091" width="15" style="232" bestFit="1" customWidth="1"/>
    <col min="14092" max="14092" width="11.85546875" style="232" customWidth="1"/>
    <col min="14093" max="14093" width="12.28515625" style="232" customWidth="1"/>
    <col min="14094" max="14094" width="12.140625" style="232" customWidth="1"/>
    <col min="14095" max="14095" width="10.85546875" style="232" customWidth="1"/>
    <col min="14096" max="14336" width="9.140625" style="232"/>
    <col min="14337" max="14337" width="4.7109375" style="232" customWidth="1"/>
    <col min="14338" max="14338" width="13.28515625" style="232" customWidth="1"/>
    <col min="14339" max="14339" width="15.42578125" style="232" customWidth="1"/>
    <col min="14340" max="14340" width="15.140625" style="232" bestFit="1" customWidth="1"/>
    <col min="14341" max="14341" width="12.140625" style="232" customWidth="1"/>
    <col min="14342" max="14342" width="14.42578125" style="232" customWidth="1"/>
    <col min="14343" max="14343" width="14.140625" style="232" customWidth="1"/>
    <col min="14344" max="14344" width="14.140625" style="232" bestFit="1" customWidth="1"/>
    <col min="14345" max="14345" width="15" style="232" bestFit="1" customWidth="1"/>
    <col min="14346" max="14346" width="13" style="232" customWidth="1"/>
    <col min="14347" max="14347" width="15" style="232" bestFit="1" customWidth="1"/>
    <col min="14348" max="14348" width="11.85546875" style="232" customWidth="1"/>
    <col min="14349" max="14349" width="12.28515625" style="232" customWidth="1"/>
    <col min="14350" max="14350" width="12.140625" style="232" customWidth="1"/>
    <col min="14351" max="14351" width="10.85546875" style="232" customWidth="1"/>
    <col min="14352" max="14592" width="9.140625" style="232"/>
    <col min="14593" max="14593" width="4.7109375" style="232" customWidth="1"/>
    <col min="14594" max="14594" width="13.28515625" style="232" customWidth="1"/>
    <col min="14595" max="14595" width="15.42578125" style="232" customWidth="1"/>
    <col min="14596" max="14596" width="15.140625" style="232" bestFit="1" customWidth="1"/>
    <col min="14597" max="14597" width="12.140625" style="232" customWidth="1"/>
    <col min="14598" max="14598" width="14.42578125" style="232" customWidth="1"/>
    <col min="14599" max="14599" width="14.140625" style="232" customWidth="1"/>
    <col min="14600" max="14600" width="14.140625" style="232" bestFit="1" customWidth="1"/>
    <col min="14601" max="14601" width="15" style="232" bestFit="1" customWidth="1"/>
    <col min="14602" max="14602" width="13" style="232" customWidth="1"/>
    <col min="14603" max="14603" width="15" style="232" bestFit="1" customWidth="1"/>
    <col min="14604" max="14604" width="11.85546875" style="232" customWidth="1"/>
    <col min="14605" max="14605" width="12.28515625" style="232" customWidth="1"/>
    <col min="14606" max="14606" width="12.140625" style="232" customWidth="1"/>
    <col min="14607" max="14607" width="10.85546875" style="232" customWidth="1"/>
    <col min="14608" max="14848" width="9.140625" style="232"/>
    <col min="14849" max="14849" width="4.7109375" style="232" customWidth="1"/>
    <col min="14850" max="14850" width="13.28515625" style="232" customWidth="1"/>
    <col min="14851" max="14851" width="15.42578125" style="232" customWidth="1"/>
    <col min="14852" max="14852" width="15.140625" style="232" bestFit="1" customWidth="1"/>
    <col min="14853" max="14853" width="12.140625" style="232" customWidth="1"/>
    <col min="14854" max="14854" width="14.42578125" style="232" customWidth="1"/>
    <col min="14855" max="14855" width="14.140625" style="232" customWidth="1"/>
    <col min="14856" max="14856" width="14.140625" style="232" bestFit="1" customWidth="1"/>
    <col min="14857" max="14857" width="15" style="232" bestFit="1" customWidth="1"/>
    <col min="14858" max="14858" width="13" style="232" customWidth="1"/>
    <col min="14859" max="14859" width="15" style="232" bestFit="1" customWidth="1"/>
    <col min="14860" max="14860" width="11.85546875" style="232" customWidth="1"/>
    <col min="14861" max="14861" width="12.28515625" style="232" customWidth="1"/>
    <col min="14862" max="14862" width="12.140625" style="232" customWidth="1"/>
    <col min="14863" max="14863" width="10.85546875" style="232" customWidth="1"/>
    <col min="14864" max="15104" width="9.140625" style="232"/>
    <col min="15105" max="15105" width="4.7109375" style="232" customWidth="1"/>
    <col min="15106" max="15106" width="13.28515625" style="232" customWidth="1"/>
    <col min="15107" max="15107" width="15.42578125" style="232" customWidth="1"/>
    <col min="15108" max="15108" width="15.140625" style="232" bestFit="1" customWidth="1"/>
    <col min="15109" max="15109" width="12.140625" style="232" customWidth="1"/>
    <col min="15110" max="15110" width="14.42578125" style="232" customWidth="1"/>
    <col min="15111" max="15111" width="14.140625" style="232" customWidth="1"/>
    <col min="15112" max="15112" width="14.140625" style="232" bestFit="1" customWidth="1"/>
    <col min="15113" max="15113" width="15" style="232" bestFit="1" customWidth="1"/>
    <col min="15114" max="15114" width="13" style="232" customWidth="1"/>
    <col min="15115" max="15115" width="15" style="232" bestFit="1" customWidth="1"/>
    <col min="15116" max="15116" width="11.85546875" style="232" customWidth="1"/>
    <col min="15117" max="15117" width="12.28515625" style="232" customWidth="1"/>
    <col min="15118" max="15118" width="12.140625" style="232" customWidth="1"/>
    <col min="15119" max="15119" width="10.85546875" style="232" customWidth="1"/>
    <col min="15120" max="15360" width="9.140625" style="232"/>
    <col min="15361" max="15361" width="4.7109375" style="232" customWidth="1"/>
    <col min="15362" max="15362" width="13.28515625" style="232" customWidth="1"/>
    <col min="15363" max="15363" width="15.42578125" style="232" customWidth="1"/>
    <col min="15364" max="15364" width="15.140625" style="232" bestFit="1" customWidth="1"/>
    <col min="15365" max="15365" width="12.140625" style="232" customWidth="1"/>
    <col min="15366" max="15366" width="14.42578125" style="232" customWidth="1"/>
    <col min="15367" max="15367" width="14.140625" style="232" customWidth="1"/>
    <col min="15368" max="15368" width="14.140625" style="232" bestFit="1" customWidth="1"/>
    <col min="15369" max="15369" width="15" style="232" bestFit="1" customWidth="1"/>
    <col min="15370" max="15370" width="13" style="232" customWidth="1"/>
    <col min="15371" max="15371" width="15" style="232" bestFit="1" customWidth="1"/>
    <col min="15372" max="15372" width="11.85546875" style="232" customWidth="1"/>
    <col min="15373" max="15373" width="12.28515625" style="232" customWidth="1"/>
    <col min="15374" max="15374" width="12.140625" style="232" customWidth="1"/>
    <col min="15375" max="15375" width="10.85546875" style="232" customWidth="1"/>
    <col min="15376" max="15616" width="9.140625" style="232"/>
    <col min="15617" max="15617" width="4.7109375" style="232" customWidth="1"/>
    <col min="15618" max="15618" width="13.28515625" style="232" customWidth="1"/>
    <col min="15619" max="15619" width="15.42578125" style="232" customWidth="1"/>
    <col min="15620" max="15620" width="15.140625" style="232" bestFit="1" customWidth="1"/>
    <col min="15621" max="15621" width="12.140625" style="232" customWidth="1"/>
    <col min="15622" max="15622" width="14.42578125" style="232" customWidth="1"/>
    <col min="15623" max="15623" width="14.140625" style="232" customWidth="1"/>
    <col min="15624" max="15624" width="14.140625" style="232" bestFit="1" customWidth="1"/>
    <col min="15625" max="15625" width="15" style="232" bestFit="1" customWidth="1"/>
    <col min="15626" max="15626" width="13" style="232" customWidth="1"/>
    <col min="15627" max="15627" width="15" style="232" bestFit="1" customWidth="1"/>
    <col min="15628" max="15628" width="11.85546875" style="232" customWidth="1"/>
    <col min="15629" max="15629" width="12.28515625" style="232" customWidth="1"/>
    <col min="15630" max="15630" width="12.140625" style="232" customWidth="1"/>
    <col min="15631" max="15631" width="10.85546875" style="232" customWidth="1"/>
    <col min="15632" max="15872" width="9.140625" style="232"/>
    <col min="15873" max="15873" width="4.7109375" style="232" customWidth="1"/>
    <col min="15874" max="15874" width="13.28515625" style="232" customWidth="1"/>
    <col min="15875" max="15875" width="15.42578125" style="232" customWidth="1"/>
    <col min="15876" max="15876" width="15.140625" style="232" bestFit="1" customWidth="1"/>
    <col min="15877" max="15877" width="12.140625" style="232" customWidth="1"/>
    <col min="15878" max="15878" width="14.42578125" style="232" customWidth="1"/>
    <col min="15879" max="15879" width="14.140625" style="232" customWidth="1"/>
    <col min="15880" max="15880" width="14.140625" style="232" bestFit="1" customWidth="1"/>
    <col min="15881" max="15881" width="15" style="232" bestFit="1" customWidth="1"/>
    <col min="15882" max="15882" width="13" style="232" customWidth="1"/>
    <col min="15883" max="15883" width="15" style="232" bestFit="1" customWidth="1"/>
    <col min="15884" max="15884" width="11.85546875" style="232" customWidth="1"/>
    <col min="15885" max="15885" width="12.28515625" style="232" customWidth="1"/>
    <col min="15886" max="15886" width="12.140625" style="232" customWidth="1"/>
    <col min="15887" max="15887" width="10.85546875" style="232" customWidth="1"/>
    <col min="15888" max="16128" width="9.140625" style="232"/>
    <col min="16129" max="16129" width="4.7109375" style="232" customWidth="1"/>
    <col min="16130" max="16130" width="13.28515625" style="232" customWidth="1"/>
    <col min="16131" max="16131" width="15.42578125" style="232" customWidth="1"/>
    <col min="16132" max="16132" width="15.140625" style="232" bestFit="1" customWidth="1"/>
    <col min="16133" max="16133" width="12.140625" style="232" customWidth="1"/>
    <col min="16134" max="16134" width="14.42578125" style="232" customWidth="1"/>
    <col min="16135" max="16135" width="14.140625" style="232" customWidth="1"/>
    <col min="16136" max="16136" width="14.140625" style="232" bestFit="1" customWidth="1"/>
    <col min="16137" max="16137" width="15" style="232" bestFit="1" customWidth="1"/>
    <col min="16138" max="16138" width="13" style="232" customWidth="1"/>
    <col min="16139" max="16139" width="15" style="232" bestFit="1" customWidth="1"/>
    <col min="16140" max="16140" width="11.85546875" style="232" customWidth="1"/>
    <col min="16141" max="16141" width="12.28515625" style="232" customWidth="1"/>
    <col min="16142" max="16142" width="12.140625" style="232" customWidth="1"/>
    <col min="16143" max="16143" width="10.85546875" style="232" customWidth="1"/>
    <col min="16144" max="16384" width="9.140625" style="232"/>
  </cols>
  <sheetData>
    <row r="1" spans="1:14" ht="24" customHeight="1" x14ac:dyDescent="0.3">
      <c r="A1" s="624" t="s">
        <v>249</v>
      </c>
      <c r="B1" s="625"/>
      <c r="C1" s="625"/>
      <c r="D1" s="625"/>
      <c r="E1" s="231"/>
      <c r="F1" s="231"/>
      <c r="G1" s="231"/>
      <c r="H1" s="231"/>
      <c r="I1" s="231"/>
      <c r="J1" s="231"/>
    </row>
    <row r="2" spans="1:14" ht="3" customHeight="1" thickBot="1" x14ac:dyDescent="0.3">
      <c r="A2" s="233"/>
      <c r="B2" s="234"/>
      <c r="C2" s="234"/>
      <c r="D2" s="234"/>
      <c r="E2" s="234"/>
      <c r="F2" s="234"/>
      <c r="G2" s="234"/>
      <c r="H2" s="234"/>
      <c r="I2" s="234"/>
      <c r="J2" s="234"/>
    </row>
    <row r="3" spans="1:14" ht="18.75" customHeight="1" thickBot="1" x14ac:dyDescent="0.3">
      <c r="A3" s="231"/>
      <c r="B3" s="235"/>
      <c r="C3" s="235"/>
      <c r="D3" s="235"/>
      <c r="E3" s="235"/>
      <c r="F3" s="235"/>
      <c r="G3" s="235"/>
      <c r="H3" s="235"/>
      <c r="I3" s="235"/>
      <c r="J3" s="235"/>
      <c r="K3" s="626" t="s">
        <v>250</v>
      </c>
      <c r="L3" s="627"/>
      <c r="M3" s="627"/>
      <c r="N3" s="628"/>
    </row>
    <row r="4" spans="1:14" ht="14.25" customHeight="1" x14ac:dyDescent="0.25">
      <c r="A4" s="231"/>
      <c r="B4" s="629" t="s">
        <v>248</v>
      </c>
      <c r="C4" s="630"/>
      <c r="D4" s="631"/>
      <c r="E4" s="231"/>
      <c r="F4" s="629" t="s">
        <v>247</v>
      </c>
      <c r="G4" s="630"/>
      <c r="H4" s="631"/>
      <c r="I4" s="236"/>
      <c r="J4" s="231"/>
      <c r="K4" s="237" t="s">
        <v>230</v>
      </c>
      <c r="L4" s="238" t="s">
        <v>246</v>
      </c>
      <c r="M4" s="238" t="s">
        <v>245</v>
      </c>
      <c r="N4" s="239" t="s">
        <v>244</v>
      </c>
    </row>
    <row r="5" spans="1:14" ht="14.25" x14ac:dyDescent="0.3">
      <c r="A5" s="231"/>
      <c r="B5" s="240"/>
      <c r="C5" s="241" t="s">
        <v>243</v>
      </c>
      <c r="D5" s="230"/>
      <c r="E5" s="231"/>
      <c r="F5" s="240"/>
      <c r="G5" s="241" t="s">
        <v>242</v>
      </c>
      <c r="H5" s="242" t="str">
        <f>IF(Values_Entered,-PMT(Interest_Rate/Num_Pmt_Per_Year,Loan_Years*Num_Pmt_Per_Year,Loan_Amount),"")</f>
        <v/>
      </c>
      <c r="I5" s="243"/>
      <c r="J5" s="231"/>
      <c r="K5" s="244">
        <v>100000</v>
      </c>
      <c r="L5" s="245">
        <v>54</v>
      </c>
      <c r="M5" s="245">
        <v>109</v>
      </c>
      <c r="N5" s="246">
        <v>167</v>
      </c>
    </row>
    <row r="6" spans="1:14" ht="14.25" x14ac:dyDescent="0.3">
      <c r="A6" s="231"/>
      <c r="B6" s="240"/>
      <c r="C6" s="241" t="s">
        <v>241</v>
      </c>
      <c r="D6" s="229"/>
      <c r="E6" s="231"/>
      <c r="F6" s="240"/>
      <c r="G6" s="241" t="s">
        <v>240</v>
      </c>
      <c r="H6" s="247" t="str">
        <f>IF(Values_Entered,Loan_Years*Num_Pmt_Per_Year,"")</f>
        <v/>
      </c>
      <c r="I6" s="248"/>
      <c r="J6" s="249"/>
      <c r="K6" s="244">
        <v>1000000</v>
      </c>
      <c r="L6" s="245">
        <v>542</v>
      </c>
      <c r="M6" s="245">
        <v>1092</v>
      </c>
      <c r="N6" s="246">
        <v>1674</v>
      </c>
    </row>
    <row r="7" spans="1:14" ht="14.25" x14ac:dyDescent="0.3">
      <c r="A7" s="231"/>
      <c r="B7" s="240"/>
      <c r="C7" s="241" t="s">
        <v>239</v>
      </c>
      <c r="D7" s="228"/>
      <c r="E7" s="231"/>
      <c r="F7" s="240"/>
      <c r="G7" s="241" t="s">
        <v>238</v>
      </c>
      <c r="H7" s="247" t="str">
        <f>IF(Values_Entered,Number_of_Payments,"")</f>
        <v/>
      </c>
      <c r="I7" s="248"/>
      <c r="J7" s="249"/>
      <c r="K7" s="244">
        <v>10000000</v>
      </c>
      <c r="L7" s="245">
        <v>5417</v>
      </c>
      <c r="M7" s="245">
        <v>10917</v>
      </c>
      <c r="N7" s="246">
        <v>16747</v>
      </c>
    </row>
    <row r="8" spans="1:14" ht="15" thickBot="1" x14ac:dyDescent="0.35">
      <c r="A8" s="231"/>
      <c r="B8" s="240"/>
      <c r="C8" s="241" t="s">
        <v>237</v>
      </c>
      <c r="D8" s="228"/>
      <c r="E8" s="231"/>
      <c r="F8" s="240"/>
      <c r="G8" s="241" t="s">
        <v>236</v>
      </c>
      <c r="H8" s="242" t="str">
        <f>IF(Values_Entered,SUMIF(Beg_Bal,"&gt;0",Extra_Pay),"")</f>
        <v/>
      </c>
      <c r="I8" s="243"/>
      <c r="J8" s="250" t="s">
        <v>243</v>
      </c>
      <c r="K8" s="251">
        <f>$D$5</f>
        <v>0</v>
      </c>
      <c r="L8" s="252">
        <f>$K$8/$K$6*$L$6</f>
        <v>0</v>
      </c>
      <c r="M8" s="252">
        <f>$K$8/$K$6*$M$6</f>
        <v>0</v>
      </c>
      <c r="N8" s="253">
        <f>$K$8/$K$6*$N$6</f>
        <v>0</v>
      </c>
    </row>
    <row r="9" spans="1:14" ht="15" thickBot="1" x14ac:dyDescent="0.35">
      <c r="A9" s="231"/>
      <c r="B9" s="240"/>
      <c r="C9" s="241" t="s">
        <v>235</v>
      </c>
      <c r="D9" s="227"/>
      <c r="E9" s="231"/>
      <c r="F9" s="254"/>
      <c r="G9" s="255" t="s">
        <v>234</v>
      </c>
      <c r="H9" s="242" t="str">
        <f>IF(Values_Entered,SUMIF(Beg_Bal,"&gt;0",Int),"")</f>
        <v/>
      </c>
      <c r="I9" s="243"/>
      <c r="J9" s="249"/>
      <c r="K9" s="527" t="s">
        <v>251</v>
      </c>
      <c r="L9" s="632"/>
      <c r="M9" s="632"/>
      <c r="N9" s="528"/>
    </row>
    <row r="10" spans="1:14" ht="14.25" x14ac:dyDescent="0.3">
      <c r="A10" s="231"/>
      <c r="B10" s="254"/>
      <c r="C10" s="255" t="s">
        <v>233</v>
      </c>
      <c r="D10" s="226">
        <v>0</v>
      </c>
      <c r="E10" s="231"/>
      <c r="F10" s="235"/>
      <c r="G10" s="235"/>
      <c r="H10" s="235"/>
      <c r="I10" s="235"/>
      <c r="J10" s="249"/>
      <c r="K10" s="256">
        <v>100000</v>
      </c>
      <c r="L10" s="257">
        <v>542</v>
      </c>
      <c r="M10" s="257">
        <v>1095</v>
      </c>
      <c r="N10" s="258">
        <v>1681</v>
      </c>
    </row>
    <row r="11" spans="1:14" ht="13.5" x14ac:dyDescent="0.25">
      <c r="A11" s="231"/>
      <c r="B11" s="235"/>
      <c r="C11" s="235"/>
      <c r="D11" s="235"/>
      <c r="E11" s="235"/>
      <c r="F11" s="235"/>
      <c r="G11" s="235"/>
      <c r="H11" s="235"/>
      <c r="I11" s="235"/>
      <c r="J11" s="235"/>
      <c r="K11" s="244">
        <v>1000000</v>
      </c>
      <c r="L11" s="245">
        <v>5424</v>
      </c>
      <c r="M11" s="245">
        <v>10946</v>
      </c>
      <c r="N11" s="246">
        <v>16813</v>
      </c>
    </row>
    <row r="12" spans="1:14" ht="13.5" x14ac:dyDescent="0.25">
      <c r="A12" s="231"/>
      <c r="B12" s="259" t="s">
        <v>232</v>
      </c>
      <c r="C12" s="633" t="s">
        <v>231</v>
      </c>
      <c r="D12" s="634"/>
      <c r="E12" s="260"/>
      <c r="F12" s="235"/>
      <c r="G12" s="235"/>
      <c r="H12" s="235"/>
      <c r="I12" s="235"/>
      <c r="J12" s="235"/>
      <c r="K12" s="244">
        <v>10000000</v>
      </c>
      <c r="L12" s="245">
        <v>54239</v>
      </c>
      <c r="M12" s="245">
        <v>109458</v>
      </c>
      <c r="N12" s="246">
        <v>168132</v>
      </c>
    </row>
    <row r="13" spans="1:14" ht="14.25" thickBot="1" x14ac:dyDescent="0.3">
      <c r="A13" s="231"/>
      <c r="B13" s="259"/>
      <c r="C13" s="261"/>
      <c r="D13" s="261"/>
      <c r="E13" s="235"/>
      <c r="F13" s="235"/>
      <c r="G13" s="235"/>
      <c r="H13" s="235"/>
      <c r="I13" s="235"/>
      <c r="J13" s="262" t="s">
        <v>243</v>
      </c>
      <c r="K13" s="263">
        <f>$D$5</f>
        <v>0</v>
      </c>
      <c r="L13" s="264">
        <f>$K$13/$K$11*$L$11</f>
        <v>0</v>
      </c>
      <c r="M13" s="264">
        <f>$K$13/$K$11*$M$11</f>
        <v>0</v>
      </c>
      <c r="N13" s="265">
        <f>$K$13/$K$11*$N$11</f>
        <v>0</v>
      </c>
    </row>
    <row r="14" spans="1:14" ht="14.25" customHeight="1" x14ac:dyDescent="0.3">
      <c r="A14" s="233"/>
      <c r="B14" s="234"/>
      <c r="C14" s="234"/>
      <c r="D14" s="234"/>
      <c r="E14" s="234"/>
      <c r="F14" s="234"/>
      <c r="G14" s="234"/>
      <c r="H14" s="234"/>
      <c r="I14" s="234"/>
      <c r="J14" s="266"/>
    </row>
    <row r="15" spans="1:14" ht="3.75" customHeight="1" x14ac:dyDescent="0.25">
      <c r="A15" s="231"/>
      <c r="B15" s="235"/>
      <c r="C15" s="235"/>
      <c r="D15" s="235"/>
      <c r="E15" s="235"/>
      <c r="F15" s="235"/>
      <c r="G15" s="235"/>
      <c r="H15" s="235"/>
      <c r="I15" s="235"/>
      <c r="J15" s="235"/>
    </row>
    <row r="16" spans="1:14" s="267" customFormat="1" ht="28.5" customHeight="1" x14ac:dyDescent="0.2">
      <c r="A16" s="225" t="s">
        <v>229</v>
      </c>
      <c r="B16" s="224" t="s">
        <v>228</v>
      </c>
      <c r="C16" s="224" t="s">
        <v>227</v>
      </c>
      <c r="D16" s="224" t="s">
        <v>226</v>
      </c>
      <c r="E16" s="224" t="s">
        <v>225</v>
      </c>
      <c r="F16" s="224" t="s">
        <v>224</v>
      </c>
      <c r="G16" s="224" t="s">
        <v>223</v>
      </c>
      <c r="H16" s="224" t="s">
        <v>222</v>
      </c>
      <c r="I16" s="224" t="s">
        <v>221</v>
      </c>
      <c r="J16" s="224" t="s">
        <v>220</v>
      </c>
    </row>
    <row r="17" spans="1:22" s="267" customFormat="1" ht="6" customHeight="1" thickBot="1" x14ac:dyDescent="0.25">
      <c r="A17" s="268"/>
      <c r="B17" s="223"/>
      <c r="C17" s="223"/>
      <c r="D17" s="223"/>
      <c r="E17" s="223"/>
      <c r="F17" s="223"/>
      <c r="G17" s="223"/>
      <c r="H17" s="223"/>
      <c r="I17" s="223"/>
      <c r="J17" s="222"/>
    </row>
    <row r="18" spans="1:22" s="267" customFormat="1" ht="19.5" customHeight="1" thickBot="1" x14ac:dyDescent="0.25">
      <c r="A18" s="269" t="str">
        <f>IF(Values_Entered,1,"")</f>
        <v/>
      </c>
      <c r="B18" s="270" t="str">
        <f t="shared" ref="B18:B81" si="0">IF(Pay_Num&lt;&gt;"",DATE(YEAR(Loan_Start),MONTH(Loan_Start)+(Pay_Num)*12/Num_Pmt_Per_Year,DAY(Loan_Start)),"")</f>
        <v/>
      </c>
      <c r="C18" s="271" t="str">
        <f>IF(Values_Entered,Loan_Amount,"")</f>
        <v/>
      </c>
      <c r="D18" s="271" t="str">
        <f>IF(Pay_Num&lt;&gt;"",Scheduled_Monthly_Payment,"")</f>
        <v/>
      </c>
      <c r="E18" s="271" t="e">
        <f t="shared" ref="E18:E81" si="1">IF(AND(Pay_Num&lt;&gt;"",Sched_Pay+Scheduled_Extra_Payments&lt;Beg_Bal),Scheduled_Extra_Payments,IF(AND(Pay_Num&lt;&gt;"",Beg_Bal-Sched_Pay&gt;0),Beg_Bal-Sched_Pay,IF(Pay_Num&lt;&gt;"",0,"")))</f>
        <v>#VALUE!</v>
      </c>
      <c r="F18" s="271" t="e">
        <f t="shared" ref="F18:F81" si="2">IF(AND(Pay_Num&lt;&gt;"",Sched_Pay+Extra_Pay&lt;Beg_Bal),Sched_Pay+Extra_Pay,IF(Pay_Num&lt;&gt;"",Beg_Bal,""))</f>
        <v>#VALUE!</v>
      </c>
      <c r="G18" s="271" t="str">
        <f>IF(Pay_Num&lt;&gt;"",Total_Pay-Int,"")</f>
        <v/>
      </c>
      <c r="H18" s="271" t="str">
        <f>IF(Pay_Num&lt;&gt;"",Beg_Bal*(Interest_Rate/Num_Pmt_Per_Year),"")</f>
        <v/>
      </c>
      <c r="I18" s="271" t="e">
        <f t="shared" ref="I18:I81" si="3">IF(AND(Pay_Num&lt;&gt;"",Sched_Pay+Extra_Pay&lt;Beg_Bal),Beg_Bal-Princ,IF(Pay_Num&lt;&gt;"",0,""))</f>
        <v>#VALUE!</v>
      </c>
      <c r="J18" s="271">
        <f>SUM($H$18:$H18)</f>
        <v>0</v>
      </c>
      <c r="L18" s="613" t="s">
        <v>219</v>
      </c>
      <c r="M18" s="614"/>
      <c r="N18" s="614"/>
      <c r="O18" s="615"/>
    </row>
    <row r="19" spans="1:22" s="267" customFormat="1" ht="12.75" customHeight="1" x14ac:dyDescent="0.2">
      <c r="A19" s="269" t="str">
        <f t="shared" ref="A19:A82" si="4">IF(Values_Entered,A18+1,"")</f>
        <v/>
      </c>
      <c r="B19" s="270" t="str">
        <f t="shared" si="0"/>
        <v/>
      </c>
      <c r="C19" s="272" t="str">
        <f t="shared" ref="C19:C82" si="5">IF(Pay_Num&lt;&gt;"",I18,"")</f>
        <v/>
      </c>
      <c r="D19" s="272" t="str">
        <f>IF(Pay_Num&lt;&gt;"",Scheduled_Monthly_Payment,"")</f>
        <v/>
      </c>
      <c r="E19" s="273" t="e">
        <f>IF(AND(Pay_Num&lt;&gt;"",Sched_Pay+Scheduled_Extra_Payments&lt;Beg_Bal),Scheduled_Extra_Payments,IF(AND(Pay_Num&lt;&gt;"",Beg_Bal-Sched_Pay&gt;0),Beg_Bal-Sched_Pay,IF(Pay_Num&lt;&gt;"",0,"")))</f>
        <v>#VALUE!</v>
      </c>
      <c r="F19" s="272" t="e">
        <f t="shared" si="2"/>
        <v>#VALUE!</v>
      </c>
      <c r="G19" s="272" t="str">
        <f t="shared" ref="G19:G82" si="6">IF(Pay_Num&lt;&gt;"",Total_Pay-Int,"")</f>
        <v/>
      </c>
      <c r="H19" s="272" t="str">
        <f t="shared" ref="H19:H82" si="7">IF(Pay_Num&lt;&gt;"",Beg_Bal*Interest_Rate/Num_Pmt_Per_Year,"")</f>
        <v/>
      </c>
      <c r="I19" s="272" t="e">
        <f t="shared" si="3"/>
        <v>#VALUE!</v>
      </c>
      <c r="J19" s="272">
        <f>SUM($H$18:$H19)</f>
        <v>0</v>
      </c>
      <c r="L19" s="616" t="s">
        <v>218</v>
      </c>
      <c r="M19" s="618" t="s">
        <v>217</v>
      </c>
      <c r="N19" s="619"/>
      <c r="O19" s="620"/>
    </row>
    <row r="20" spans="1:22" s="267" customFormat="1" ht="12.75" customHeight="1" x14ac:dyDescent="0.2">
      <c r="A20" s="269" t="str">
        <f t="shared" si="4"/>
        <v/>
      </c>
      <c r="B20" s="270" t="str">
        <f t="shared" si="0"/>
        <v/>
      </c>
      <c r="C20" s="272" t="str">
        <f t="shared" si="5"/>
        <v/>
      </c>
      <c r="D20" s="272" t="str">
        <f t="shared" ref="D20:D83" si="8">IF(Pay_Num&lt;&gt;"",Scheduled_Monthly_Payment,"")</f>
        <v/>
      </c>
      <c r="E20" s="273" t="e">
        <f t="shared" si="1"/>
        <v>#VALUE!</v>
      </c>
      <c r="F20" s="272" t="e">
        <f t="shared" si="2"/>
        <v>#VALUE!</v>
      </c>
      <c r="G20" s="272" t="str">
        <f t="shared" si="6"/>
        <v/>
      </c>
      <c r="H20" s="272" t="str">
        <f t="shared" si="7"/>
        <v/>
      </c>
      <c r="I20" s="272" t="e">
        <f t="shared" si="3"/>
        <v>#VALUE!</v>
      </c>
      <c r="J20" s="272">
        <f>SUM($H$18:$H20)</f>
        <v>0</v>
      </c>
      <c r="L20" s="616"/>
      <c r="M20" s="274">
        <v>0.02</v>
      </c>
      <c r="N20" s="274">
        <v>0.04</v>
      </c>
      <c r="O20" s="275">
        <v>0.06</v>
      </c>
    </row>
    <row r="21" spans="1:22" s="267" customFormat="1" x14ac:dyDescent="0.2">
      <c r="A21" s="269" t="str">
        <f t="shared" si="4"/>
        <v/>
      </c>
      <c r="B21" s="270" t="str">
        <f t="shared" si="0"/>
        <v/>
      </c>
      <c r="C21" s="272" t="str">
        <f t="shared" si="5"/>
        <v/>
      </c>
      <c r="D21" s="272" t="str">
        <f>IF(Pay_Num&lt;&gt;"",Scheduled_Monthly_Payment,"")</f>
        <v/>
      </c>
      <c r="E21" s="273" t="e">
        <f t="shared" si="1"/>
        <v>#VALUE!</v>
      </c>
      <c r="F21" s="272" t="e">
        <f t="shared" si="2"/>
        <v>#VALUE!</v>
      </c>
      <c r="G21" s="272" t="str">
        <f t="shared" si="6"/>
        <v/>
      </c>
      <c r="H21" s="272" t="str">
        <f t="shared" si="7"/>
        <v/>
      </c>
      <c r="I21" s="272" t="e">
        <f t="shared" si="3"/>
        <v>#VALUE!</v>
      </c>
      <c r="J21" s="272">
        <f>SUM($H$18:$H21)</f>
        <v>0</v>
      </c>
      <c r="L21" s="617"/>
      <c r="M21" s="621" t="s">
        <v>216</v>
      </c>
      <c r="N21" s="622"/>
      <c r="O21" s="623"/>
    </row>
    <row r="22" spans="1:22" s="267" customFormat="1" x14ac:dyDescent="0.2">
      <c r="A22" s="269" t="str">
        <f t="shared" si="4"/>
        <v/>
      </c>
      <c r="B22" s="270" t="str">
        <f t="shared" si="0"/>
        <v/>
      </c>
      <c r="C22" s="272" t="str">
        <f t="shared" si="5"/>
        <v/>
      </c>
      <c r="D22" s="272" t="str">
        <f t="shared" si="8"/>
        <v/>
      </c>
      <c r="E22" s="273" t="e">
        <f t="shared" si="1"/>
        <v>#VALUE!</v>
      </c>
      <c r="F22" s="272" t="e">
        <f t="shared" si="2"/>
        <v>#VALUE!</v>
      </c>
      <c r="G22" s="272" t="str">
        <f t="shared" si="6"/>
        <v/>
      </c>
      <c r="H22" s="272" t="str">
        <f t="shared" si="7"/>
        <v/>
      </c>
      <c r="I22" s="272" t="e">
        <f t="shared" si="3"/>
        <v>#VALUE!</v>
      </c>
      <c r="J22" s="272">
        <f>SUM($H$18:$H22)</f>
        <v>0</v>
      </c>
      <c r="L22" s="244">
        <v>250</v>
      </c>
      <c r="M22" s="276">
        <v>4.0000000000000001E-3</v>
      </c>
      <c r="N22" s="276">
        <v>8.0000000000000002E-3</v>
      </c>
      <c r="O22" s="277">
        <v>1.2E-2</v>
      </c>
    </row>
    <row r="23" spans="1:22" x14ac:dyDescent="0.2">
      <c r="A23" s="269" t="str">
        <f t="shared" si="4"/>
        <v/>
      </c>
      <c r="B23" s="270" t="str">
        <f t="shared" si="0"/>
        <v/>
      </c>
      <c r="C23" s="272" t="str">
        <f t="shared" si="5"/>
        <v/>
      </c>
      <c r="D23" s="272" t="str">
        <f t="shared" si="8"/>
        <v/>
      </c>
      <c r="E23" s="273" t="e">
        <f t="shared" si="1"/>
        <v>#VALUE!</v>
      </c>
      <c r="F23" s="272" t="e">
        <f t="shared" si="2"/>
        <v>#VALUE!</v>
      </c>
      <c r="G23" s="272" t="str">
        <f t="shared" si="6"/>
        <v/>
      </c>
      <c r="H23" s="272" t="str">
        <f t="shared" si="7"/>
        <v/>
      </c>
      <c r="I23" s="272" t="e">
        <f t="shared" si="3"/>
        <v>#VALUE!</v>
      </c>
      <c r="J23" s="272">
        <f>SUM($H$18:$H23)</f>
        <v>0</v>
      </c>
      <c r="L23" s="244">
        <v>500</v>
      </c>
      <c r="M23" s="276">
        <v>8.0000000000000002E-3</v>
      </c>
      <c r="N23" s="276">
        <v>1.6E-2</v>
      </c>
      <c r="O23" s="277">
        <v>2.4E-2</v>
      </c>
    </row>
    <row r="24" spans="1:22" x14ac:dyDescent="0.2">
      <c r="A24" s="269" t="str">
        <f t="shared" si="4"/>
        <v/>
      </c>
      <c r="B24" s="270" t="str">
        <f t="shared" si="0"/>
        <v/>
      </c>
      <c r="C24" s="272" t="str">
        <f t="shared" si="5"/>
        <v/>
      </c>
      <c r="D24" s="272" t="str">
        <f t="shared" si="8"/>
        <v/>
      </c>
      <c r="E24" s="273" t="e">
        <f t="shared" si="1"/>
        <v>#VALUE!</v>
      </c>
      <c r="F24" s="272" t="e">
        <f t="shared" si="2"/>
        <v>#VALUE!</v>
      </c>
      <c r="G24" s="272" t="str">
        <f t="shared" si="6"/>
        <v/>
      </c>
      <c r="H24" s="272" t="str">
        <f t="shared" si="7"/>
        <v/>
      </c>
      <c r="I24" s="272" t="e">
        <f t="shared" si="3"/>
        <v>#VALUE!</v>
      </c>
      <c r="J24" s="272">
        <f>SUM($H$18:$H24)</f>
        <v>0</v>
      </c>
      <c r="L24" s="244">
        <v>750</v>
      </c>
      <c r="M24" s="276">
        <v>1.2E-2</v>
      </c>
      <c r="N24" s="276">
        <v>2.4E-2</v>
      </c>
      <c r="O24" s="277">
        <v>3.5999999999999997E-2</v>
      </c>
    </row>
    <row r="25" spans="1:22" x14ac:dyDescent="0.2">
      <c r="A25" s="269" t="str">
        <f t="shared" si="4"/>
        <v/>
      </c>
      <c r="B25" s="270" t="str">
        <f t="shared" si="0"/>
        <v/>
      </c>
      <c r="C25" s="272" t="str">
        <f t="shared" si="5"/>
        <v/>
      </c>
      <c r="D25" s="272" t="str">
        <f t="shared" si="8"/>
        <v/>
      </c>
      <c r="E25" s="273" t="e">
        <f t="shared" si="1"/>
        <v>#VALUE!</v>
      </c>
      <c r="F25" s="272" t="e">
        <f t="shared" si="2"/>
        <v>#VALUE!</v>
      </c>
      <c r="G25" s="272" t="str">
        <f t="shared" si="6"/>
        <v/>
      </c>
      <c r="H25" s="272" t="str">
        <f t="shared" si="7"/>
        <v/>
      </c>
      <c r="I25" s="272" t="e">
        <f t="shared" si="3"/>
        <v>#VALUE!</v>
      </c>
      <c r="J25" s="272">
        <f>SUM($H$18:$H25)</f>
        <v>0</v>
      </c>
      <c r="L25" s="244">
        <v>1000</v>
      </c>
      <c r="M25" s="276">
        <v>1.6E-2</v>
      </c>
      <c r="N25" s="276">
        <v>3.2000000000000001E-2</v>
      </c>
      <c r="O25" s="277">
        <v>4.8000000000000001E-2</v>
      </c>
    </row>
    <row r="26" spans="1:22" x14ac:dyDescent="0.2">
      <c r="A26" s="269" t="str">
        <f t="shared" si="4"/>
        <v/>
      </c>
      <c r="B26" s="270" t="str">
        <f t="shared" si="0"/>
        <v/>
      </c>
      <c r="C26" s="272" t="str">
        <f t="shared" si="5"/>
        <v/>
      </c>
      <c r="D26" s="272" t="str">
        <f t="shared" si="8"/>
        <v/>
      </c>
      <c r="E26" s="273" t="e">
        <f t="shared" si="1"/>
        <v>#VALUE!</v>
      </c>
      <c r="F26" s="272" t="e">
        <f t="shared" si="2"/>
        <v>#VALUE!</v>
      </c>
      <c r="G26" s="272" t="str">
        <f t="shared" si="6"/>
        <v/>
      </c>
      <c r="H26" s="272" t="str">
        <f t="shared" si="7"/>
        <v/>
      </c>
      <c r="I26" s="272" t="e">
        <f t="shared" si="3"/>
        <v>#VALUE!</v>
      </c>
      <c r="J26" s="272">
        <f>SUM($H$18:$H26)</f>
        <v>0</v>
      </c>
      <c r="L26" s="244">
        <v>1250</v>
      </c>
      <c r="M26" s="276">
        <v>0.02</v>
      </c>
      <c r="N26" s="276">
        <v>0.04</v>
      </c>
      <c r="O26" s="277">
        <v>0.06</v>
      </c>
    </row>
    <row r="27" spans="1:22" x14ac:dyDescent="0.2">
      <c r="A27" s="269" t="str">
        <f t="shared" si="4"/>
        <v/>
      </c>
      <c r="B27" s="270" t="str">
        <f t="shared" si="0"/>
        <v/>
      </c>
      <c r="C27" s="272" t="str">
        <f t="shared" si="5"/>
        <v/>
      </c>
      <c r="D27" s="272" t="str">
        <f t="shared" si="8"/>
        <v/>
      </c>
      <c r="E27" s="273" t="e">
        <f t="shared" si="1"/>
        <v>#VALUE!</v>
      </c>
      <c r="F27" s="272" t="e">
        <f t="shared" si="2"/>
        <v>#VALUE!</v>
      </c>
      <c r="G27" s="272" t="str">
        <f t="shared" si="6"/>
        <v/>
      </c>
      <c r="H27" s="272" t="str">
        <f t="shared" si="7"/>
        <v/>
      </c>
      <c r="I27" s="272" t="e">
        <f t="shared" si="3"/>
        <v>#VALUE!</v>
      </c>
      <c r="J27" s="272">
        <f>SUM($H$18:$H27)</f>
        <v>0</v>
      </c>
      <c r="L27" s="244">
        <v>1500</v>
      </c>
      <c r="M27" s="276">
        <v>2.4E-2</v>
      </c>
      <c r="N27" s="276">
        <v>4.8000000000000001E-2</v>
      </c>
      <c r="O27" s="277">
        <v>7.1999999999999995E-2</v>
      </c>
      <c r="T27" s="278"/>
      <c r="U27" s="278"/>
      <c r="V27" s="278"/>
    </row>
    <row r="28" spans="1:22" x14ac:dyDescent="0.2">
      <c r="A28" s="269" t="str">
        <f t="shared" si="4"/>
        <v/>
      </c>
      <c r="B28" s="270" t="str">
        <f t="shared" si="0"/>
        <v/>
      </c>
      <c r="C28" s="272" t="str">
        <f t="shared" si="5"/>
        <v/>
      </c>
      <c r="D28" s="272" t="str">
        <f t="shared" si="8"/>
        <v/>
      </c>
      <c r="E28" s="273" t="e">
        <f t="shared" si="1"/>
        <v>#VALUE!</v>
      </c>
      <c r="F28" s="272" t="e">
        <f t="shared" si="2"/>
        <v>#VALUE!</v>
      </c>
      <c r="G28" s="272" t="str">
        <f t="shared" si="6"/>
        <v/>
      </c>
      <c r="H28" s="272" t="str">
        <f t="shared" si="7"/>
        <v/>
      </c>
      <c r="I28" s="272" t="e">
        <f t="shared" si="3"/>
        <v>#VALUE!</v>
      </c>
      <c r="J28" s="272">
        <f>SUM($H$18:$H28)</f>
        <v>0</v>
      </c>
      <c r="L28" s="244">
        <v>1750</v>
      </c>
      <c r="M28" s="276">
        <v>2.8000000000000001E-2</v>
      </c>
      <c r="N28" s="276">
        <v>5.6000000000000001E-2</v>
      </c>
      <c r="O28" s="277">
        <v>8.4000000000000005E-2</v>
      </c>
    </row>
    <row r="29" spans="1:22" x14ac:dyDescent="0.2">
      <c r="A29" s="269" t="str">
        <f t="shared" si="4"/>
        <v/>
      </c>
      <c r="B29" s="270" t="str">
        <f t="shared" si="0"/>
        <v/>
      </c>
      <c r="C29" s="272" t="str">
        <f t="shared" si="5"/>
        <v/>
      </c>
      <c r="D29" s="272" t="str">
        <f t="shared" si="8"/>
        <v/>
      </c>
      <c r="E29" s="273" t="e">
        <f t="shared" si="1"/>
        <v>#VALUE!</v>
      </c>
      <c r="F29" s="272" t="e">
        <f t="shared" si="2"/>
        <v>#VALUE!</v>
      </c>
      <c r="G29" s="272" t="str">
        <f t="shared" si="6"/>
        <v/>
      </c>
      <c r="H29" s="272" t="str">
        <f t="shared" si="7"/>
        <v/>
      </c>
      <c r="I29" s="272" t="e">
        <f t="shared" si="3"/>
        <v>#VALUE!</v>
      </c>
      <c r="J29" s="272">
        <f>SUM($H$18:$H29)</f>
        <v>0</v>
      </c>
      <c r="L29" s="244">
        <v>2000</v>
      </c>
      <c r="M29" s="276">
        <v>3.2000000000000001E-2</v>
      </c>
      <c r="N29" s="276">
        <v>6.4000000000000001E-2</v>
      </c>
      <c r="O29" s="277">
        <v>9.6000000000000002E-2</v>
      </c>
      <c r="S29" s="279"/>
    </row>
    <row r="30" spans="1:22" x14ac:dyDescent="0.2">
      <c r="A30" s="269" t="str">
        <f t="shared" si="4"/>
        <v/>
      </c>
      <c r="B30" s="270" t="str">
        <f t="shared" si="0"/>
        <v/>
      </c>
      <c r="C30" s="272" t="str">
        <f t="shared" si="5"/>
        <v/>
      </c>
      <c r="D30" s="272" t="str">
        <f t="shared" si="8"/>
        <v/>
      </c>
      <c r="E30" s="273" t="e">
        <f t="shared" si="1"/>
        <v>#VALUE!</v>
      </c>
      <c r="F30" s="272" t="e">
        <f t="shared" si="2"/>
        <v>#VALUE!</v>
      </c>
      <c r="G30" s="272" t="str">
        <f t="shared" si="6"/>
        <v/>
      </c>
      <c r="H30" s="272" t="str">
        <f t="shared" si="7"/>
        <v/>
      </c>
      <c r="I30" s="272" t="e">
        <f t="shared" si="3"/>
        <v>#VALUE!</v>
      </c>
      <c r="J30" s="272">
        <f>SUM($H$18:$H30)</f>
        <v>0</v>
      </c>
      <c r="L30" s="244">
        <v>2250</v>
      </c>
      <c r="M30" s="276">
        <v>3.5999999999999997E-2</v>
      </c>
      <c r="N30" s="276">
        <v>7.1999999999999995E-2</v>
      </c>
      <c r="O30" s="277">
        <v>0.108</v>
      </c>
      <c r="S30" s="279"/>
    </row>
    <row r="31" spans="1:22" x14ac:dyDescent="0.2">
      <c r="A31" s="269" t="str">
        <f t="shared" si="4"/>
        <v/>
      </c>
      <c r="B31" s="270" t="str">
        <f t="shared" si="0"/>
        <v/>
      </c>
      <c r="C31" s="272" t="str">
        <f t="shared" si="5"/>
        <v/>
      </c>
      <c r="D31" s="272" t="str">
        <f t="shared" si="8"/>
        <v/>
      </c>
      <c r="E31" s="273" t="e">
        <f t="shared" si="1"/>
        <v>#VALUE!</v>
      </c>
      <c r="F31" s="272" t="e">
        <f t="shared" si="2"/>
        <v>#VALUE!</v>
      </c>
      <c r="G31" s="272" t="str">
        <f t="shared" si="6"/>
        <v/>
      </c>
      <c r="H31" s="272" t="str">
        <f t="shared" si="7"/>
        <v/>
      </c>
      <c r="I31" s="272" t="e">
        <f t="shared" si="3"/>
        <v>#VALUE!</v>
      </c>
      <c r="J31" s="272">
        <f>SUM($H$18:$H31)</f>
        <v>0</v>
      </c>
      <c r="L31" s="244">
        <v>2500</v>
      </c>
      <c r="M31" s="276">
        <v>0.04</v>
      </c>
      <c r="N31" s="276">
        <v>0.08</v>
      </c>
      <c r="O31" s="277">
        <v>0.12</v>
      </c>
      <c r="S31" s="279"/>
    </row>
    <row r="32" spans="1:22" x14ac:dyDescent="0.2">
      <c r="A32" s="269" t="str">
        <f t="shared" si="4"/>
        <v/>
      </c>
      <c r="B32" s="270" t="str">
        <f t="shared" si="0"/>
        <v/>
      </c>
      <c r="C32" s="272" t="str">
        <f t="shared" si="5"/>
        <v/>
      </c>
      <c r="D32" s="272" t="str">
        <f t="shared" si="8"/>
        <v/>
      </c>
      <c r="E32" s="273" t="e">
        <f t="shared" si="1"/>
        <v>#VALUE!</v>
      </c>
      <c r="F32" s="272" t="e">
        <f t="shared" si="2"/>
        <v>#VALUE!</v>
      </c>
      <c r="G32" s="272" t="str">
        <f t="shared" si="6"/>
        <v/>
      </c>
      <c r="H32" s="272" t="str">
        <f t="shared" si="7"/>
        <v/>
      </c>
      <c r="I32" s="272" t="e">
        <f t="shared" si="3"/>
        <v>#VALUE!</v>
      </c>
      <c r="J32" s="272">
        <f>SUM($H$18:$H32)</f>
        <v>0</v>
      </c>
      <c r="L32" s="244">
        <v>2750</v>
      </c>
      <c r="M32" s="276">
        <v>4.3999999999999997E-2</v>
      </c>
      <c r="N32" s="276">
        <v>8.7999999999999995E-2</v>
      </c>
      <c r="O32" s="277">
        <v>0.13200000000000001</v>
      </c>
      <c r="S32" s="279"/>
    </row>
    <row r="33" spans="1:19" x14ac:dyDescent="0.2">
      <c r="A33" s="269" t="str">
        <f t="shared" si="4"/>
        <v/>
      </c>
      <c r="B33" s="270" t="str">
        <f t="shared" si="0"/>
        <v/>
      </c>
      <c r="C33" s="272" t="str">
        <f t="shared" si="5"/>
        <v/>
      </c>
      <c r="D33" s="272" t="str">
        <f t="shared" si="8"/>
        <v/>
      </c>
      <c r="E33" s="273" t="e">
        <f t="shared" si="1"/>
        <v>#VALUE!</v>
      </c>
      <c r="F33" s="272" t="e">
        <f t="shared" si="2"/>
        <v>#VALUE!</v>
      </c>
      <c r="G33" s="272" t="str">
        <f t="shared" si="6"/>
        <v/>
      </c>
      <c r="H33" s="272" t="str">
        <f t="shared" si="7"/>
        <v/>
      </c>
      <c r="I33" s="272" t="e">
        <f t="shared" si="3"/>
        <v>#VALUE!</v>
      </c>
      <c r="J33" s="272">
        <f>SUM($H$18:$H33)</f>
        <v>0</v>
      </c>
      <c r="L33" s="244">
        <v>3000</v>
      </c>
      <c r="M33" s="276">
        <v>4.8000000000000001E-2</v>
      </c>
      <c r="N33" s="276">
        <v>9.6000000000000002E-2</v>
      </c>
      <c r="O33" s="277">
        <v>0.14399999999999999</v>
      </c>
      <c r="S33" s="279"/>
    </row>
    <row r="34" spans="1:19" ht="13.5" thickBot="1" x14ac:dyDescent="0.25">
      <c r="A34" s="269" t="str">
        <f t="shared" si="4"/>
        <v/>
      </c>
      <c r="B34" s="270" t="str">
        <f t="shared" si="0"/>
        <v/>
      </c>
      <c r="C34" s="272" t="str">
        <f t="shared" si="5"/>
        <v/>
      </c>
      <c r="D34" s="272" t="str">
        <f t="shared" si="8"/>
        <v/>
      </c>
      <c r="E34" s="273" t="e">
        <f t="shared" si="1"/>
        <v>#VALUE!</v>
      </c>
      <c r="F34" s="272" t="e">
        <f t="shared" si="2"/>
        <v>#VALUE!</v>
      </c>
      <c r="G34" s="272" t="str">
        <f t="shared" si="6"/>
        <v/>
      </c>
      <c r="H34" s="272" t="str">
        <f t="shared" si="7"/>
        <v/>
      </c>
      <c r="I34" s="272" t="e">
        <f t="shared" si="3"/>
        <v>#VALUE!</v>
      </c>
      <c r="J34" s="272">
        <f>SUM($H$18:$H34)</f>
        <v>0</v>
      </c>
      <c r="L34" s="280">
        <v>3250</v>
      </c>
      <c r="M34" s="281">
        <v>5.1999999999999998E-2</v>
      </c>
      <c r="N34" s="282">
        <v>0.104</v>
      </c>
      <c r="O34" s="283">
        <v>0.156</v>
      </c>
      <c r="S34" s="279"/>
    </row>
    <row r="35" spans="1:19" x14ac:dyDescent="0.2">
      <c r="A35" s="269" t="str">
        <f t="shared" si="4"/>
        <v/>
      </c>
      <c r="B35" s="270" t="str">
        <f t="shared" si="0"/>
        <v/>
      </c>
      <c r="C35" s="272" t="str">
        <f t="shared" si="5"/>
        <v/>
      </c>
      <c r="D35" s="272" t="str">
        <f t="shared" si="8"/>
        <v/>
      </c>
      <c r="E35" s="273" t="e">
        <f t="shared" si="1"/>
        <v>#VALUE!</v>
      </c>
      <c r="F35" s="272" t="e">
        <f t="shared" si="2"/>
        <v>#VALUE!</v>
      </c>
      <c r="G35" s="272" t="str">
        <f t="shared" si="6"/>
        <v/>
      </c>
      <c r="H35" s="272" t="str">
        <f t="shared" si="7"/>
        <v/>
      </c>
      <c r="I35" s="272" t="e">
        <f t="shared" si="3"/>
        <v>#VALUE!</v>
      </c>
      <c r="J35" s="272">
        <f>SUM($H$18:$H35)</f>
        <v>0</v>
      </c>
      <c r="L35" s="279"/>
      <c r="S35" s="279"/>
    </row>
    <row r="36" spans="1:19" x14ac:dyDescent="0.2">
      <c r="A36" s="269" t="str">
        <f t="shared" si="4"/>
        <v/>
      </c>
      <c r="B36" s="270" t="str">
        <f t="shared" si="0"/>
        <v/>
      </c>
      <c r="C36" s="272" t="str">
        <f t="shared" si="5"/>
        <v/>
      </c>
      <c r="D36" s="272" t="str">
        <f t="shared" si="8"/>
        <v/>
      </c>
      <c r="E36" s="273" t="e">
        <f t="shared" si="1"/>
        <v>#VALUE!</v>
      </c>
      <c r="F36" s="272" t="e">
        <f t="shared" si="2"/>
        <v>#VALUE!</v>
      </c>
      <c r="G36" s="272" t="str">
        <f t="shared" si="6"/>
        <v/>
      </c>
      <c r="H36" s="272" t="str">
        <f t="shared" si="7"/>
        <v/>
      </c>
      <c r="I36" s="272" t="e">
        <f t="shared" si="3"/>
        <v>#VALUE!</v>
      </c>
      <c r="J36" s="272">
        <f>SUM($H$18:$H36)</f>
        <v>0</v>
      </c>
      <c r="L36" s="279"/>
      <c r="S36" s="279"/>
    </row>
    <row r="37" spans="1:19" x14ac:dyDescent="0.2">
      <c r="A37" s="269" t="str">
        <f t="shared" si="4"/>
        <v/>
      </c>
      <c r="B37" s="270" t="str">
        <f t="shared" si="0"/>
        <v/>
      </c>
      <c r="C37" s="272" t="str">
        <f t="shared" si="5"/>
        <v/>
      </c>
      <c r="D37" s="272" t="str">
        <f t="shared" si="8"/>
        <v/>
      </c>
      <c r="E37" s="273" t="e">
        <f t="shared" si="1"/>
        <v>#VALUE!</v>
      </c>
      <c r="F37" s="272" t="e">
        <f t="shared" si="2"/>
        <v>#VALUE!</v>
      </c>
      <c r="G37" s="272" t="str">
        <f t="shared" si="6"/>
        <v/>
      </c>
      <c r="H37" s="272" t="str">
        <f t="shared" si="7"/>
        <v/>
      </c>
      <c r="I37" s="272" t="e">
        <f t="shared" si="3"/>
        <v>#VALUE!</v>
      </c>
      <c r="J37" s="272">
        <f>SUM($H$18:$H37)</f>
        <v>0</v>
      </c>
      <c r="L37" s="279"/>
      <c r="S37" s="279"/>
    </row>
    <row r="38" spans="1:19" x14ac:dyDescent="0.2">
      <c r="A38" s="269" t="str">
        <f t="shared" si="4"/>
        <v/>
      </c>
      <c r="B38" s="270" t="str">
        <f t="shared" si="0"/>
        <v/>
      </c>
      <c r="C38" s="272" t="str">
        <f t="shared" si="5"/>
        <v/>
      </c>
      <c r="D38" s="272" t="str">
        <f t="shared" si="8"/>
        <v/>
      </c>
      <c r="E38" s="273" t="e">
        <f t="shared" si="1"/>
        <v>#VALUE!</v>
      </c>
      <c r="F38" s="272" t="e">
        <f t="shared" si="2"/>
        <v>#VALUE!</v>
      </c>
      <c r="G38" s="272" t="str">
        <f t="shared" si="6"/>
        <v/>
      </c>
      <c r="H38" s="272" t="str">
        <f t="shared" si="7"/>
        <v/>
      </c>
      <c r="I38" s="272" t="e">
        <f t="shared" si="3"/>
        <v>#VALUE!</v>
      </c>
      <c r="J38" s="272">
        <f>SUM($H$18:$H38)</f>
        <v>0</v>
      </c>
      <c r="L38" s="279"/>
      <c r="S38" s="279"/>
    </row>
    <row r="39" spans="1:19" x14ac:dyDescent="0.2">
      <c r="A39" s="269" t="str">
        <f t="shared" si="4"/>
        <v/>
      </c>
      <c r="B39" s="270" t="str">
        <f t="shared" si="0"/>
        <v/>
      </c>
      <c r="C39" s="272" t="str">
        <f t="shared" si="5"/>
        <v/>
      </c>
      <c r="D39" s="272" t="str">
        <f t="shared" si="8"/>
        <v/>
      </c>
      <c r="E39" s="273" t="e">
        <f t="shared" si="1"/>
        <v>#VALUE!</v>
      </c>
      <c r="F39" s="272" t="e">
        <f t="shared" si="2"/>
        <v>#VALUE!</v>
      </c>
      <c r="G39" s="272" t="str">
        <f t="shared" si="6"/>
        <v/>
      </c>
      <c r="H39" s="272" t="str">
        <f t="shared" si="7"/>
        <v/>
      </c>
      <c r="I39" s="272" t="e">
        <f t="shared" si="3"/>
        <v>#VALUE!</v>
      </c>
      <c r="J39" s="272">
        <f>SUM($H$18:$H39)</f>
        <v>0</v>
      </c>
      <c r="L39" s="284"/>
      <c r="S39" s="279"/>
    </row>
    <row r="40" spans="1:19" x14ac:dyDescent="0.2">
      <c r="A40" s="269" t="str">
        <f t="shared" si="4"/>
        <v/>
      </c>
      <c r="B40" s="270" t="str">
        <f t="shared" si="0"/>
        <v/>
      </c>
      <c r="C40" s="272" t="str">
        <f t="shared" si="5"/>
        <v/>
      </c>
      <c r="D40" s="272" t="str">
        <f t="shared" si="8"/>
        <v/>
      </c>
      <c r="E40" s="273" t="e">
        <f t="shared" si="1"/>
        <v>#VALUE!</v>
      </c>
      <c r="F40" s="272" t="e">
        <f t="shared" si="2"/>
        <v>#VALUE!</v>
      </c>
      <c r="G40" s="272" t="str">
        <f t="shared" si="6"/>
        <v/>
      </c>
      <c r="H40" s="272" t="str">
        <f t="shared" si="7"/>
        <v/>
      </c>
      <c r="I40" s="272" t="e">
        <f t="shared" si="3"/>
        <v>#VALUE!</v>
      </c>
      <c r="J40" s="272">
        <f>SUM($H$18:$H40)</f>
        <v>0</v>
      </c>
      <c r="L40" s="284"/>
      <c r="S40" s="279"/>
    </row>
    <row r="41" spans="1:19" x14ac:dyDescent="0.2">
      <c r="A41" s="269" t="str">
        <f t="shared" si="4"/>
        <v/>
      </c>
      <c r="B41" s="270" t="str">
        <f t="shared" si="0"/>
        <v/>
      </c>
      <c r="C41" s="272" t="str">
        <f t="shared" si="5"/>
        <v/>
      </c>
      <c r="D41" s="272" t="str">
        <f t="shared" si="8"/>
        <v/>
      </c>
      <c r="E41" s="273" t="e">
        <f t="shared" si="1"/>
        <v>#VALUE!</v>
      </c>
      <c r="F41" s="272" t="e">
        <f t="shared" si="2"/>
        <v>#VALUE!</v>
      </c>
      <c r="G41" s="272" t="str">
        <f t="shared" si="6"/>
        <v/>
      </c>
      <c r="H41" s="272" t="str">
        <f t="shared" si="7"/>
        <v/>
      </c>
      <c r="I41" s="272" t="e">
        <f t="shared" si="3"/>
        <v>#VALUE!</v>
      </c>
      <c r="J41" s="272">
        <f>SUM($H$18:$H41)</f>
        <v>0</v>
      </c>
      <c r="L41" s="284"/>
      <c r="N41" s="285"/>
      <c r="S41" s="279"/>
    </row>
    <row r="42" spans="1:19" x14ac:dyDescent="0.2">
      <c r="A42" s="269" t="str">
        <f t="shared" si="4"/>
        <v/>
      </c>
      <c r="B42" s="270" t="str">
        <f t="shared" si="0"/>
        <v/>
      </c>
      <c r="C42" s="272" t="str">
        <f t="shared" si="5"/>
        <v/>
      </c>
      <c r="D42" s="272" t="str">
        <f t="shared" si="8"/>
        <v/>
      </c>
      <c r="E42" s="273" t="e">
        <f t="shared" si="1"/>
        <v>#VALUE!</v>
      </c>
      <c r="F42" s="272" t="e">
        <f t="shared" si="2"/>
        <v>#VALUE!</v>
      </c>
      <c r="G42" s="272" t="str">
        <f t="shared" si="6"/>
        <v/>
      </c>
      <c r="H42" s="272" t="str">
        <f t="shared" si="7"/>
        <v/>
      </c>
      <c r="I42" s="272" t="e">
        <f t="shared" si="3"/>
        <v>#VALUE!</v>
      </c>
      <c r="J42" s="272">
        <f>SUM($H$18:$H42)</f>
        <v>0</v>
      </c>
    </row>
    <row r="43" spans="1:19" x14ac:dyDescent="0.2">
      <c r="A43" s="269" t="str">
        <f t="shared" si="4"/>
        <v/>
      </c>
      <c r="B43" s="270" t="str">
        <f t="shared" si="0"/>
        <v/>
      </c>
      <c r="C43" s="272" t="str">
        <f t="shared" si="5"/>
        <v/>
      </c>
      <c r="D43" s="272" t="str">
        <f t="shared" si="8"/>
        <v/>
      </c>
      <c r="E43" s="273" t="e">
        <f t="shared" si="1"/>
        <v>#VALUE!</v>
      </c>
      <c r="F43" s="272" t="e">
        <f t="shared" si="2"/>
        <v>#VALUE!</v>
      </c>
      <c r="G43" s="272" t="str">
        <f t="shared" si="6"/>
        <v/>
      </c>
      <c r="H43" s="272" t="str">
        <f t="shared" si="7"/>
        <v/>
      </c>
      <c r="I43" s="272" t="e">
        <f t="shared" si="3"/>
        <v>#VALUE!</v>
      </c>
      <c r="J43" s="272">
        <f>SUM($H$18:$H43)</f>
        <v>0</v>
      </c>
    </row>
    <row r="44" spans="1:19" x14ac:dyDescent="0.2">
      <c r="A44" s="269" t="str">
        <f t="shared" si="4"/>
        <v/>
      </c>
      <c r="B44" s="270" t="str">
        <f t="shared" si="0"/>
        <v/>
      </c>
      <c r="C44" s="272" t="str">
        <f t="shared" si="5"/>
        <v/>
      </c>
      <c r="D44" s="272" t="str">
        <f t="shared" si="8"/>
        <v/>
      </c>
      <c r="E44" s="273" t="e">
        <f t="shared" si="1"/>
        <v>#VALUE!</v>
      </c>
      <c r="F44" s="272" t="e">
        <f t="shared" si="2"/>
        <v>#VALUE!</v>
      </c>
      <c r="G44" s="272" t="str">
        <f t="shared" si="6"/>
        <v/>
      </c>
      <c r="H44" s="272" t="str">
        <f t="shared" si="7"/>
        <v/>
      </c>
      <c r="I44" s="272" t="e">
        <f t="shared" si="3"/>
        <v>#VALUE!</v>
      </c>
      <c r="J44" s="272">
        <f>SUM($H$18:$H44)</f>
        <v>0</v>
      </c>
    </row>
    <row r="45" spans="1:19" x14ac:dyDescent="0.2">
      <c r="A45" s="269" t="str">
        <f t="shared" si="4"/>
        <v/>
      </c>
      <c r="B45" s="270" t="str">
        <f t="shared" si="0"/>
        <v/>
      </c>
      <c r="C45" s="272" t="str">
        <f t="shared" si="5"/>
        <v/>
      </c>
      <c r="D45" s="272" t="str">
        <f t="shared" si="8"/>
        <v/>
      </c>
      <c r="E45" s="273" t="e">
        <f t="shared" si="1"/>
        <v>#VALUE!</v>
      </c>
      <c r="F45" s="272" t="e">
        <f t="shared" si="2"/>
        <v>#VALUE!</v>
      </c>
      <c r="G45" s="272" t="str">
        <f t="shared" si="6"/>
        <v/>
      </c>
      <c r="H45" s="272" t="str">
        <f t="shared" si="7"/>
        <v/>
      </c>
      <c r="I45" s="272" t="e">
        <f t="shared" si="3"/>
        <v>#VALUE!</v>
      </c>
      <c r="J45" s="272">
        <f>SUM($H$18:$H45)</f>
        <v>0</v>
      </c>
    </row>
    <row r="46" spans="1:19" x14ac:dyDescent="0.2">
      <c r="A46" s="269" t="str">
        <f t="shared" si="4"/>
        <v/>
      </c>
      <c r="B46" s="270" t="str">
        <f t="shared" si="0"/>
        <v/>
      </c>
      <c r="C46" s="272" t="str">
        <f t="shared" si="5"/>
        <v/>
      </c>
      <c r="D46" s="272" t="str">
        <f t="shared" si="8"/>
        <v/>
      </c>
      <c r="E46" s="273" t="e">
        <f t="shared" si="1"/>
        <v>#VALUE!</v>
      </c>
      <c r="F46" s="272" t="e">
        <f t="shared" si="2"/>
        <v>#VALUE!</v>
      </c>
      <c r="G46" s="272" t="str">
        <f t="shared" si="6"/>
        <v/>
      </c>
      <c r="H46" s="272" t="str">
        <f t="shared" si="7"/>
        <v/>
      </c>
      <c r="I46" s="272" t="e">
        <f t="shared" si="3"/>
        <v>#VALUE!</v>
      </c>
      <c r="J46" s="272">
        <f>SUM($H$18:$H46)</f>
        <v>0</v>
      </c>
    </row>
    <row r="47" spans="1:19" x14ac:dyDescent="0.2">
      <c r="A47" s="269" t="str">
        <f t="shared" si="4"/>
        <v/>
      </c>
      <c r="B47" s="270" t="str">
        <f t="shared" si="0"/>
        <v/>
      </c>
      <c r="C47" s="272" t="str">
        <f t="shared" si="5"/>
        <v/>
      </c>
      <c r="D47" s="272" t="str">
        <f t="shared" si="8"/>
        <v/>
      </c>
      <c r="E47" s="273" t="e">
        <f t="shared" si="1"/>
        <v>#VALUE!</v>
      </c>
      <c r="F47" s="272" t="e">
        <f t="shared" si="2"/>
        <v>#VALUE!</v>
      </c>
      <c r="G47" s="272" t="str">
        <f t="shared" si="6"/>
        <v/>
      </c>
      <c r="H47" s="272" t="str">
        <f t="shared" si="7"/>
        <v/>
      </c>
      <c r="I47" s="272" t="e">
        <f t="shared" si="3"/>
        <v>#VALUE!</v>
      </c>
      <c r="J47" s="272">
        <f>SUM($H$18:$H47)</f>
        <v>0</v>
      </c>
    </row>
    <row r="48" spans="1:19" x14ac:dyDescent="0.2">
      <c r="A48" s="269" t="str">
        <f t="shared" si="4"/>
        <v/>
      </c>
      <c r="B48" s="270" t="str">
        <f t="shared" si="0"/>
        <v/>
      </c>
      <c r="C48" s="272" t="str">
        <f t="shared" si="5"/>
        <v/>
      </c>
      <c r="D48" s="272" t="str">
        <f t="shared" si="8"/>
        <v/>
      </c>
      <c r="E48" s="273" t="e">
        <f t="shared" si="1"/>
        <v>#VALUE!</v>
      </c>
      <c r="F48" s="272" t="e">
        <f t="shared" si="2"/>
        <v>#VALUE!</v>
      </c>
      <c r="G48" s="272" t="str">
        <f t="shared" si="6"/>
        <v/>
      </c>
      <c r="H48" s="272" t="str">
        <f t="shared" si="7"/>
        <v/>
      </c>
      <c r="I48" s="272" t="e">
        <f t="shared" si="3"/>
        <v>#VALUE!</v>
      </c>
      <c r="J48" s="272">
        <f>SUM($H$18:$H48)</f>
        <v>0</v>
      </c>
    </row>
    <row r="49" spans="1:10" x14ac:dyDescent="0.2">
      <c r="A49" s="269" t="str">
        <f t="shared" si="4"/>
        <v/>
      </c>
      <c r="B49" s="270" t="str">
        <f t="shared" si="0"/>
        <v/>
      </c>
      <c r="C49" s="272" t="str">
        <f t="shared" si="5"/>
        <v/>
      </c>
      <c r="D49" s="272" t="str">
        <f t="shared" si="8"/>
        <v/>
      </c>
      <c r="E49" s="273" t="e">
        <f t="shared" si="1"/>
        <v>#VALUE!</v>
      </c>
      <c r="F49" s="272" t="e">
        <f t="shared" si="2"/>
        <v>#VALUE!</v>
      </c>
      <c r="G49" s="272" t="str">
        <f t="shared" si="6"/>
        <v/>
      </c>
      <c r="H49" s="272" t="str">
        <f t="shared" si="7"/>
        <v/>
      </c>
      <c r="I49" s="272" t="e">
        <f t="shared" si="3"/>
        <v>#VALUE!</v>
      </c>
      <c r="J49" s="272">
        <f>SUM($H$18:$H49)</f>
        <v>0</v>
      </c>
    </row>
    <row r="50" spans="1:10" x14ac:dyDescent="0.2">
      <c r="A50" s="269" t="str">
        <f t="shared" si="4"/>
        <v/>
      </c>
      <c r="B50" s="270" t="str">
        <f t="shared" si="0"/>
        <v/>
      </c>
      <c r="C50" s="272" t="str">
        <f t="shared" si="5"/>
        <v/>
      </c>
      <c r="D50" s="272" t="str">
        <f t="shared" si="8"/>
        <v/>
      </c>
      <c r="E50" s="273" t="e">
        <f t="shared" si="1"/>
        <v>#VALUE!</v>
      </c>
      <c r="F50" s="272" t="e">
        <f t="shared" si="2"/>
        <v>#VALUE!</v>
      </c>
      <c r="G50" s="272" t="str">
        <f t="shared" si="6"/>
        <v/>
      </c>
      <c r="H50" s="272" t="str">
        <f t="shared" si="7"/>
        <v/>
      </c>
      <c r="I50" s="272" t="e">
        <f t="shared" si="3"/>
        <v>#VALUE!</v>
      </c>
      <c r="J50" s="272">
        <f>SUM($H$18:$H50)</f>
        <v>0</v>
      </c>
    </row>
    <row r="51" spans="1:10" x14ac:dyDescent="0.2">
      <c r="A51" s="269" t="str">
        <f t="shared" si="4"/>
        <v/>
      </c>
      <c r="B51" s="270" t="str">
        <f t="shared" si="0"/>
        <v/>
      </c>
      <c r="C51" s="272" t="str">
        <f t="shared" si="5"/>
        <v/>
      </c>
      <c r="D51" s="272" t="str">
        <f t="shared" si="8"/>
        <v/>
      </c>
      <c r="E51" s="273" t="e">
        <f t="shared" si="1"/>
        <v>#VALUE!</v>
      </c>
      <c r="F51" s="272" t="e">
        <f t="shared" si="2"/>
        <v>#VALUE!</v>
      </c>
      <c r="G51" s="272" t="str">
        <f t="shared" si="6"/>
        <v/>
      </c>
      <c r="H51" s="272" t="str">
        <f t="shared" si="7"/>
        <v/>
      </c>
      <c r="I51" s="272" t="e">
        <f t="shared" si="3"/>
        <v>#VALUE!</v>
      </c>
      <c r="J51" s="272">
        <f>SUM($H$18:$H51)</f>
        <v>0</v>
      </c>
    </row>
    <row r="52" spans="1:10" x14ac:dyDescent="0.2">
      <c r="A52" s="269" t="str">
        <f t="shared" si="4"/>
        <v/>
      </c>
      <c r="B52" s="270" t="str">
        <f t="shared" si="0"/>
        <v/>
      </c>
      <c r="C52" s="272" t="str">
        <f t="shared" si="5"/>
        <v/>
      </c>
      <c r="D52" s="272" t="str">
        <f t="shared" si="8"/>
        <v/>
      </c>
      <c r="E52" s="273" t="e">
        <f t="shared" si="1"/>
        <v>#VALUE!</v>
      </c>
      <c r="F52" s="272" t="e">
        <f t="shared" si="2"/>
        <v>#VALUE!</v>
      </c>
      <c r="G52" s="272" t="str">
        <f t="shared" si="6"/>
        <v/>
      </c>
      <c r="H52" s="272" t="str">
        <f t="shared" si="7"/>
        <v/>
      </c>
      <c r="I52" s="272" t="e">
        <f t="shared" si="3"/>
        <v>#VALUE!</v>
      </c>
      <c r="J52" s="272">
        <f>SUM($H$18:$H52)</f>
        <v>0</v>
      </c>
    </row>
    <row r="53" spans="1:10" x14ac:dyDescent="0.2">
      <c r="A53" s="269" t="str">
        <f t="shared" si="4"/>
        <v/>
      </c>
      <c r="B53" s="270" t="str">
        <f t="shared" si="0"/>
        <v/>
      </c>
      <c r="C53" s="272" t="str">
        <f t="shared" si="5"/>
        <v/>
      </c>
      <c r="D53" s="272" t="str">
        <f t="shared" si="8"/>
        <v/>
      </c>
      <c r="E53" s="273" t="e">
        <f t="shared" si="1"/>
        <v>#VALUE!</v>
      </c>
      <c r="F53" s="272" t="e">
        <f t="shared" si="2"/>
        <v>#VALUE!</v>
      </c>
      <c r="G53" s="272" t="str">
        <f t="shared" si="6"/>
        <v/>
      </c>
      <c r="H53" s="272" t="str">
        <f t="shared" si="7"/>
        <v/>
      </c>
      <c r="I53" s="272" t="e">
        <f t="shared" si="3"/>
        <v>#VALUE!</v>
      </c>
      <c r="J53" s="272">
        <f>SUM($H$18:$H53)</f>
        <v>0</v>
      </c>
    </row>
    <row r="54" spans="1:10" x14ac:dyDescent="0.2">
      <c r="A54" s="269" t="str">
        <f t="shared" si="4"/>
        <v/>
      </c>
      <c r="B54" s="270" t="str">
        <f t="shared" si="0"/>
        <v/>
      </c>
      <c r="C54" s="272" t="str">
        <f t="shared" si="5"/>
        <v/>
      </c>
      <c r="D54" s="272" t="str">
        <f t="shared" si="8"/>
        <v/>
      </c>
      <c r="E54" s="273" t="e">
        <f t="shared" si="1"/>
        <v>#VALUE!</v>
      </c>
      <c r="F54" s="272" t="e">
        <f t="shared" si="2"/>
        <v>#VALUE!</v>
      </c>
      <c r="G54" s="272" t="str">
        <f t="shared" si="6"/>
        <v/>
      </c>
      <c r="H54" s="272" t="str">
        <f t="shared" si="7"/>
        <v/>
      </c>
      <c r="I54" s="272" t="e">
        <f t="shared" si="3"/>
        <v>#VALUE!</v>
      </c>
      <c r="J54" s="272">
        <f>SUM($H$18:$H54)</f>
        <v>0</v>
      </c>
    </row>
    <row r="55" spans="1:10" x14ac:dyDescent="0.2">
      <c r="A55" s="269" t="str">
        <f t="shared" si="4"/>
        <v/>
      </c>
      <c r="B55" s="270" t="str">
        <f t="shared" si="0"/>
        <v/>
      </c>
      <c r="C55" s="272" t="str">
        <f t="shared" si="5"/>
        <v/>
      </c>
      <c r="D55" s="272" t="str">
        <f t="shared" si="8"/>
        <v/>
      </c>
      <c r="E55" s="273" t="e">
        <f t="shared" si="1"/>
        <v>#VALUE!</v>
      </c>
      <c r="F55" s="272" t="e">
        <f t="shared" si="2"/>
        <v>#VALUE!</v>
      </c>
      <c r="G55" s="272" t="str">
        <f t="shared" si="6"/>
        <v/>
      </c>
      <c r="H55" s="272" t="str">
        <f t="shared" si="7"/>
        <v/>
      </c>
      <c r="I55" s="272" t="e">
        <f t="shared" si="3"/>
        <v>#VALUE!</v>
      </c>
      <c r="J55" s="272">
        <f>SUM($H$18:$H55)</f>
        <v>0</v>
      </c>
    </row>
    <row r="56" spans="1:10" x14ac:dyDescent="0.2">
      <c r="A56" s="269" t="str">
        <f t="shared" si="4"/>
        <v/>
      </c>
      <c r="B56" s="270" t="str">
        <f t="shared" si="0"/>
        <v/>
      </c>
      <c r="C56" s="272" t="str">
        <f t="shared" si="5"/>
        <v/>
      </c>
      <c r="D56" s="272" t="str">
        <f t="shared" si="8"/>
        <v/>
      </c>
      <c r="E56" s="273" t="e">
        <f t="shared" si="1"/>
        <v>#VALUE!</v>
      </c>
      <c r="F56" s="272" t="e">
        <f t="shared" si="2"/>
        <v>#VALUE!</v>
      </c>
      <c r="G56" s="272" t="str">
        <f t="shared" si="6"/>
        <v/>
      </c>
      <c r="H56" s="272" t="str">
        <f t="shared" si="7"/>
        <v/>
      </c>
      <c r="I56" s="272" t="e">
        <f t="shared" si="3"/>
        <v>#VALUE!</v>
      </c>
      <c r="J56" s="272">
        <f>SUM($H$18:$H56)</f>
        <v>0</v>
      </c>
    </row>
    <row r="57" spans="1:10" x14ac:dyDescent="0.2">
      <c r="A57" s="269" t="str">
        <f t="shared" si="4"/>
        <v/>
      </c>
      <c r="B57" s="270" t="str">
        <f t="shared" si="0"/>
        <v/>
      </c>
      <c r="C57" s="272" t="str">
        <f t="shared" si="5"/>
        <v/>
      </c>
      <c r="D57" s="272" t="str">
        <f t="shared" si="8"/>
        <v/>
      </c>
      <c r="E57" s="273" t="e">
        <f t="shared" si="1"/>
        <v>#VALUE!</v>
      </c>
      <c r="F57" s="272" t="e">
        <f t="shared" si="2"/>
        <v>#VALUE!</v>
      </c>
      <c r="G57" s="272" t="str">
        <f t="shared" si="6"/>
        <v/>
      </c>
      <c r="H57" s="272" t="str">
        <f t="shared" si="7"/>
        <v/>
      </c>
      <c r="I57" s="272" t="e">
        <f t="shared" si="3"/>
        <v>#VALUE!</v>
      </c>
      <c r="J57" s="272">
        <f>SUM($H$18:$H57)</f>
        <v>0</v>
      </c>
    </row>
    <row r="58" spans="1:10" x14ac:dyDescent="0.2">
      <c r="A58" s="269" t="str">
        <f t="shared" si="4"/>
        <v/>
      </c>
      <c r="B58" s="270" t="str">
        <f t="shared" si="0"/>
        <v/>
      </c>
      <c r="C58" s="272" t="str">
        <f t="shared" si="5"/>
        <v/>
      </c>
      <c r="D58" s="272" t="str">
        <f t="shared" si="8"/>
        <v/>
      </c>
      <c r="E58" s="273" t="e">
        <f t="shared" si="1"/>
        <v>#VALUE!</v>
      </c>
      <c r="F58" s="272" t="e">
        <f t="shared" si="2"/>
        <v>#VALUE!</v>
      </c>
      <c r="G58" s="272" t="str">
        <f t="shared" si="6"/>
        <v/>
      </c>
      <c r="H58" s="272" t="str">
        <f t="shared" si="7"/>
        <v/>
      </c>
      <c r="I58" s="272" t="e">
        <f t="shared" si="3"/>
        <v>#VALUE!</v>
      </c>
      <c r="J58" s="272">
        <f>SUM($H$18:$H58)</f>
        <v>0</v>
      </c>
    </row>
    <row r="59" spans="1:10" x14ac:dyDescent="0.2">
      <c r="A59" s="269" t="str">
        <f t="shared" si="4"/>
        <v/>
      </c>
      <c r="B59" s="270" t="str">
        <f t="shared" si="0"/>
        <v/>
      </c>
      <c r="C59" s="272" t="str">
        <f t="shared" si="5"/>
        <v/>
      </c>
      <c r="D59" s="272" t="str">
        <f t="shared" si="8"/>
        <v/>
      </c>
      <c r="E59" s="273" t="e">
        <f t="shared" si="1"/>
        <v>#VALUE!</v>
      </c>
      <c r="F59" s="272" t="e">
        <f t="shared" si="2"/>
        <v>#VALUE!</v>
      </c>
      <c r="G59" s="272" t="str">
        <f t="shared" si="6"/>
        <v/>
      </c>
      <c r="H59" s="272" t="str">
        <f t="shared" si="7"/>
        <v/>
      </c>
      <c r="I59" s="272" t="e">
        <f t="shared" si="3"/>
        <v>#VALUE!</v>
      </c>
      <c r="J59" s="272">
        <f>SUM($H$18:$H59)</f>
        <v>0</v>
      </c>
    </row>
    <row r="60" spans="1:10" x14ac:dyDescent="0.2">
      <c r="A60" s="269" t="str">
        <f t="shared" si="4"/>
        <v/>
      </c>
      <c r="B60" s="270" t="str">
        <f t="shared" si="0"/>
        <v/>
      </c>
      <c r="C60" s="272" t="str">
        <f t="shared" si="5"/>
        <v/>
      </c>
      <c r="D60" s="272" t="str">
        <f t="shared" si="8"/>
        <v/>
      </c>
      <c r="E60" s="273" t="e">
        <f t="shared" si="1"/>
        <v>#VALUE!</v>
      </c>
      <c r="F60" s="272" t="e">
        <f t="shared" si="2"/>
        <v>#VALUE!</v>
      </c>
      <c r="G60" s="272" t="str">
        <f t="shared" si="6"/>
        <v/>
      </c>
      <c r="H60" s="272" t="str">
        <f t="shared" si="7"/>
        <v/>
      </c>
      <c r="I60" s="272" t="e">
        <f t="shared" si="3"/>
        <v>#VALUE!</v>
      </c>
      <c r="J60" s="272">
        <f>SUM($H$18:$H60)</f>
        <v>0</v>
      </c>
    </row>
    <row r="61" spans="1:10" x14ac:dyDescent="0.2">
      <c r="A61" s="269" t="str">
        <f t="shared" si="4"/>
        <v/>
      </c>
      <c r="B61" s="270" t="str">
        <f t="shared" si="0"/>
        <v/>
      </c>
      <c r="C61" s="272" t="str">
        <f t="shared" si="5"/>
        <v/>
      </c>
      <c r="D61" s="272" t="str">
        <f t="shared" si="8"/>
        <v/>
      </c>
      <c r="E61" s="273" t="e">
        <f t="shared" si="1"/>
        <v>#VALUE!</v>
      </c>
      <c r="F61" s="272" t="e">
        <f t="shared" si="2"/>
        <v>#VALUE!</v>
      </c>
      <c r="G61" s="272" t="str">
        <f t="shared" si="6"/>
        <v/>
      </c>
      <c r="H61" s="272" t="str">
        <f t="shared" si="7"/>
        <v/>
      </c>
      <c r="I61" s="272" t="e">
        <f t="shared" si="3"/>
        <v>#VALUE!</v>
      </c>
      <c r="J61" s="272">
        <f>SUM($H$18:$H61)</f>
        <v>0</v>
      </c>
    </row>
    <row r="62" spans="1:10" x14ac:dyDescent="0.2">
      <c r="A62" s="269" t="str">
        <f t="shared" si="4"/>
        <v/>
      </c>
      <c r="B62" s="270" t="str">
        <f t="shared" si="0"/>
        <v/>
      </c>
      <c r="C62" s="272" t="str">
        <f t="shared" si="5"/>
        <v/>
      </c>
      <c r="D62" s="272" t="str">
        <f t="shared" si="8"/>
        <v/>
      </c>
      <c r="E62" s="273" t="e">
        <f t="shared" si="1"/>
        <v>#VALUE!</v>
      </c>
      <c r="F62" s="272" t="e">
        <f t="shared" si="2"/>
        <v>#VALUE!</v>
      </c>
      <c r="G62" s="272" t="str">
        <f t="shared" si="6"/>
        <v/>
      </c>
      <c r="H62" s="272" t="str">
        <f t="shared" si="7"/>
        <v/>
      </c>
      <c r="I62" s="272" t="e">
        <f t="shared" si="3"/>
        <v>#VALUE!</v>
      </c>
      <c r="J62" s="272">
        <f>SUM($H$18:$H62)</f>
        <v>0</v>
      </c>
    </row>
    <row r="63" spans="1:10" x14ac:dyDescent="0.2">
      <c r="A63" s="269" t="str">
        <f t="shared" si="4"/>
        <v/>
      </c>
      <c r="B63" s="270" t="str">
        <f t="shared" si="0"/>
        <v/>
      </c>
      <c r="C63" s="272" t="str">
        <f t="shared" si="5"/>
        <v/>
      </c>
      <c r="D63" s="272" t="str">
        <f t="shared" si="8"/>
        <v/>
      </c>
      <c r="E63" s="273" t="e">
        <f t="shared" si="1"/>
        <v>#VALUE!</v>
      </c>
      <c r="F63" s="272" t="e">
        <f t="shared" si="2"/>
        <v>#VALUE!</v>
      </c>
      <c r="G63" s="272" t="str">
        <f t="shared" si="6"/>
        <v/>
      </c>
      <c r="H63" s="272" t="str">
        <f t="shared" si="7"/>
        <v/>
      </c>
      <c r="I63" s="272" t="e">
        <f t="shared" si="3"/>
        <v>#VALUE!</v>
      </c>
      <c r="J63" s="272">
        <f>SUM($H$18:$H63)</f>
        <v>0</v>
      </c>
    </row>
    <row r="64" spans="1:10" x14ac:dyDescent="0.2">
      <c r="A64" s="269" t="str">
        <f t="shared" si="4"/>
        <v/>
      </c>
      <c r="B64" s="270" t="str">
        <f t="shared" si="0"/>
        <v/>
      </c>
      <c r="C64" s="272" t="str">
        <f t="shared" si="5"/>
        <v/>
      </c>
      <c r="D64" s="272" t="str">
        <f t="shared" si="8"/>
        <v/>
      </c>
      <c r="E64" s="273" t="e">
        <f t="shared" si="1"/>
        <v>#VALUE!</v>
      </c>
      <c r="F64" s="272" t="e">
        <f t="shared" si="2"/>
        <v>#VALUE!</v>
      </c>
      <c r="G64" s="272" t="str">
        <f t="shared" si="6"/>
        <v/>
      </c>
      <c r="H64" s="272" t="str">
        <f t="shared" si="7"/>
        <v/>
      </c>
      <c r="I64" s="272" t="e">
        <f t="shared" si="3"/>
        <v>#VALUE!</v>
      </c>
      <c r="J64" s="272">
        <f>SUM($H$18:$H64)</f>
        <v>0</v>
      </c>
    </row>
    <row r="65" spans="1:10" x14ac:dyDescent="0.2">
      <c r="A65" s="269" t="str">
        <f t="shared" si="4"/>
        <v/>
      </c>
      <c r="B65" s="270" t="str">
        <f t="shared" si="0"/>
        <v/>
      </c>
      <c r="C65" s="272" t="str">
        <f t="shared" si="5"/>
        <v/>
      </c>
      <c r="D65" s="272" t="str">
        <f t="shared" si="8"/>
        <v/>
      </c>
      <c r="E65" s="273" t="e">
        <f t="shared" si="1"/>
        <v>#VALUE!</v>
      </c>
      <c r="F65" s="272" t="e">
        <f t="shared" si="2"/>
        <v>#VALUE!</v>
      </c>
      <c r="G65" s="272" t="str">
        <f t="shared" si="6"/>
        <v/>
      </c>
      <c r="H65" s="272" t="str">
        <f t="shared" si="7"/>
        <v/>
      </c>
      <c r="I65" s="272" t="e">
        <f t="shared" si="3"/>
        <v>#VALUE!</v>
      </c>
      <c r="J65" s="272">
        <f>SUM($H$18:$H65)</f>
        <v>0</v>
      </c>
    </row>
    <row r="66" spans="1:10" x14ac:dyDescent="0.2">
      <c r="A66" s="269" t="str">
        <f t="shared" si="4"/>
        <v/>
      </c>
      <c r="B66" s="270" t="str">
        <f t="shared" si="0"/>
        <v/>
      </c>
      <c r="C66" s="272" t="str">
        <f t="shared" si="5"/>
        <v/>
      </c>
      <c r="D66" s="272" t="str">
        <f t="shared" si="8"/>
        <v/>
      </c>
      <c r="E66" s="273" t="e">
        <f t="shared" si="1"/>
        <v>#VALUE!</v>
      </c>
      <c r="F66" s="272" t="e">
        <f t="shared" si="2"/>
        <v>#VALUE!</v>
      </c>
      <c r="G66" s="272" t="str">
        <f t="shared" si="6"/>
        <v/>
      </c>
      <c r="H66" s="272" t="str">
        <f t="shared" si="7"/>
        <v/>
      </c>
      <c r="I66" s="272" t="e">
        <f t="shared" si="3"/>
        <v>#VALUE!</v>
      </c>
      <c r="J66" s="272">
        <f>SUM($H$18:$H66)</f>
        <v>0</v>
      </c>
    </row>
    <row r="67" spans="1:10" x14ac:dyDescent="0.2">
      <c r="A67" s="269" t="str">
        <f t="shared" si="4"/>
        <v/>
      </c>
      <c r="B67" s="270" t="str">
        <f t="shared" si="0"/>
        <v/>
      </c>
      <c r="C67" s="272" t="str">
        <f t="shared" si="5"/>
        <v/>
      </c>
      <c r="D67" s="272" t="str">
        <f t="shared" si="8"/>
        <v/>
      </c>
      <c r="E67" s="273" t="e">
        <f t="shared" si="1"/>
        <v>#VALUE!</v>
      </c>
      <c r="F67" s="272" t="e">
        <f t="shared" si="2"/>
        <v>#VALUE!</v>
      </c>
      <c r="G67" s="272" t="str">
        <f t="shared" si="6"/>
        <v/>
      </c>
      <c r="H67" s="272" t="str">
        <f t="shared" si="7"/>
        <v/>
      </c>
      <c r="I67" s="272" t="e">
        <f t="shared" si="3"/>
        <v>#VALUE!</v>
      </c>
      <c r="J67" s="272">
        <f>SUM($H$18:$H67)</f>
        <v>0</v>
      </c>
    </row>
    <row r="68" spans="1:10" x14ac:dyDescent="0.2">
      <c r="A68" s="269" t="str">
        <f t="shared" si="4"/>
        <v/>
      </c>
      <c r="B68" s="270" t="str">
        <f t="shared" si="0"/>
        <v/>
      </c>
      <c r="C68" s="272" t="str">
        <f t="shared" si="5"/>
        <v/>
      </c>
      <c r="D68" s="272" t="str">
        <f t="shared" si="8"/>
        <v/>
      </c>
      <c r="E68" s="273" t="e">
        <f t="shared" si="1"/>
        <v>#VALUE!</v>
      </c>
      <c r="F68" s="272" t="e">
        <f t="shared" si="2"/>
        <v>#VALUE!</v>
      </c>
      <c r="G68" s="272" t="str">
        <f t="shared" si="6"/>
        <v/>
      </c>
      <c r="H68" s="272" t="str">
        <f t="shared" si="7"/>
        <v/>
      </c>
      <c r="I68" s="272" t="e">
        <f t="shared" si="3"/>
        <v>#VALUE!</v>
      </c>
      <c r="J68" s="272">
        <f>SUM($H$18:$H68)</f>
        <v>0</v>
      </c>
    </row>
    <row r="69" spans="1:10" x14ac:dyDescent="0.2">
      <c r="A69" s="269" t="str">
        <f t="shared" si="4"/>
        <v/>
      </c>
      <c r="B69" s="270" t="str">
        <f t="shared" si="0"/>
        <v/>
      </c>
      <c r="C69" s="272" t="str">
        <f t="shared" si="5"/>
        <v/>
      </c>
      <c r="D69" s="272" t="str">
        <f t="shared" si="8"/>
        <v/>
      </c>
      <c r="E69" s="273" t="e">
        <f t="shared" si="1"/>
        <v>#VALUE!</v>
      </c>
      <c r="F69" s="272" t="e">
        <f t="shared" si="2"/>
        <v>#VALUE!</v>
      </c>
      <c r="G69" s="272" t="str">
        <f t="shared" si="6"/>
        <v/>
      </c>
      <c r="H69" s="272" t="str">
        <f t="shared" si="7"/>
        <v/>
      </c>
      <c r="I69" s="272" t="e">
        <f t="shared" si="3"/>
        <v>#VALUE!</v>
      </c>
      <c r="J69" s="272">
        <f>SUM($H$18:$H69)</f>
        <v>0</v>
      </c>
    </row>
    <row r="70" spans="1:10" x14ac:dyDescent="0.2">
      <c r="A70" s="269" t="str">
        <f t="shared" si="4"/>
        <v/>
      </c>
      <c r="B70" s="270" t="str">
        <f t="shared" si="0"/>
        <v/>
      </c>
      <c r="C70" s="272" t="str">
        <f t="shared" si="5"/>
        <v/>
      </c>
      <c r="D70" s="272" t="str">
        <f t="shared" si="8"/>
        <v/>
      </c>
      <c r="E70" s="273" t="e">
        <f t="shared" si="1"/>
        <v>#VALUE!</v>
      </c>
      <c r="F70" s="272" t="e">
        <f t="shared" si="2"/>
        <v>#VALUE!</v>
      </c>
      <c r="G70" s="272" t="str">
        <f t="shared" si="6"/>
        <v/>
      </c>
      <c r="H70" s="272" t="str">
        <f t="shared" si="7"/>
        <v/>
      </c>
      <c r="I70" s="272" t="e">
        <f t="shared" si="3"/>
        <v>#VALUE!</v>
      </c>
      <c r="J70" s="272">
        <f>SUM($H$18:$H70)</f>
        <v>0</v>
      </c>
    </row>
    <row r="71" spans="1:10" x14ac:dyDescent="0.2">
      <c r="A71" s="269" t="str">
        <f t="shared" si="4"/>
        <v/>
      </c>
      <c r="B71" s="270" t="str">
        <f t="shared" si="0"/>
        <v/>
      </c>
      <c r="C71" s="272" t="str">
        <f t="shared" si="5"/>
        <v/>
      </c>
      <c r="D71" s="272" t="str">
        <f t="shared" si="8"/>
        <v/>
      </c>
      <c r="E71" s="273" t="e">
        <f t="shared" si="1"/>
        <v>#VALUE!</v>
      </c>
      <c r="F71" s="272" t="e">
        <f t="shared" si="2"/>
        <v>#VALUE!</v>
      </c>
      <c r="G71" s="272" t="str">
        <f t="shared" si="6"/>
        <v/>
      </c>
      <c r="H71" s="272" t="str">
        <f t="shared" si="7"/>
        <v/>
      </c>
      <c r="I71" s="272" t="e">
        <f t="shared" si="3"/>
        <v>#VALUE!</v>
      </c>
      <c r="J71" s="272">
        <f>SUM($H$18:$H71)</f>
        <v>0</v>
      </c>
    </row>
    <row r="72" spans="1:10" x14ac:dyDescent="0.2">
      <c r="A72" s="269" t="str">
        <f t="shared" si="4"/>
        <v/>
      </c>
      <c r="B72" s="270" t="str">
        <f t="shared" si="0"/>
        <v/>
      </c>
      <c r="C72" s="272" t="str">
        <f t="shared" si="5"/>
        <v/>
      </c>
      <c r="D72" s="272" t="str">
        <f t="shared" si="8"/>
        <v/>
      </c>
      <c r="E72" s="273" t="e">
        <f t="shared" si="1"/>
        <v>#VALUE!</v>
      </c>
      <c r="F72" s="272" t="e">
        <f t="shared" si="2"/>
        <v>#VALUE!</v>
      </c>
      <c r="G72" s="272" t="str">
        <f t="shared" si="6"/>
        <v/>
      </c>
      <c r="H72" s="272" t="str">
        <f t="shared" si="7"/>
        <v/>
      </c>
      <c r="I72" s="272" t="e">
        <f t="shared" si="3"/>
        <v>#VALUE!</v>
      </c>
      <c r="J72" s="272">
        <f>SUM($H$18:$H72)</f>
        <v>0</v>
      </c>
    </row>
    <row r="73" spans="1:10" x14ac:dyDescent="0.2">
      <c r="A73" s="269" t="str">
        <f t="shared" si="4"/>
        <v/>
      </c>
      <c r="B73" s="270" t="str">
        <f t="shared" si="0"/>
        <v/>
      </c>
      <c r="C73" s="272" t="str">
        <f t="shared" si="5"/>
        <v/>
      </c>
      <c r="D73" s="272" t="str">
        <f t="shared" si="8"/>
        <v/>
      </c>
      <c r="E73" s="273" t="e">
        <f t="shared" si="1"/>
        <v>#VALUE!</v>
      </c>
      <c r="F73" s="272" t="e">
        <f t="shared" si="2"/>
        <v>#VALUE!</v>
      </c>
      <c r="G73" s="272" t="str">
        <f t="shared" si="6"/>
        <v/>
      </c>
      <c r="H73" s="272" t="str">
        <f t="shared" si="7"/>
        <v/>
      </c>
      <c r="I73" s="272" t="e">
        <f t="shared" si="3"/>
        <v>#VALUE!</v>
      </c>
      <c r="J73" s="272">
        <f>SUM($H$18:$H73)</f>
        <v>0</v>
      </c>
    </row>
    <row r="74" spans="1:10" x14ac:dyDescent="0.2">
      <c r="A74" s="269" t="str">
        <f t="shared" si="4"/>
        <v/>
      </c>
      <c r="B74" s="270" t="str">
        <f t="shared" si="0"/>
        <v/>
      </c>
      <c r="C74" s="272" t="str">
        <f t="shared" si="5"/>
        <v/>
      </c>
      <c r="D74" s="272" t="str">
        <f t="shared" si="8"/>
        <v/>
      </c>
      <c r="E74" s="273" t="e">
        <f t="shared" si="1"/>
        <v>#VALUE!</v>
      </c>
      <c r="F74" s="272" t="e">
        <f t="shared" si="2"/>
        <v>#VALUE!</v>
      </c>
      <c r="G74" s="272" t="str">
        <f t="shared" si="6"/>
        <v/>
      </c>
      <c r="H74" s="272" t="str">
        <f t="shared" si="7"/>
        <v/>
      </c>
      <c r="I74" s="272" t="e">
        <f t="shared" si="3"/>
        <v>#VALUE!</v>
      </c>
      <c r="J74" s="272">
        <f>SUM($H$18:$H74)</f>
        <v>0</v>
      </c>
    </row>
    <row r="75" spans="1:10" x14ac:dyDescent="0.2">
      <c r="A75" s="269" t="str">
        <f t="shared" si="4"/>
        <v/>
      </c>
      <c r="B75" s="270" t="str">
        <f t="shared" si="0"/>
        <v/>
      </c>
      <c r="C75" s="272" t="str">
        <f t="shared" si="5"/>
        <v/>
      </c>
      <c r="D75" s="272" t="str">
        <f t="shared" si="8"/>
        <v/>
      </c>
      <c r="E75" s="273" t="e">
        <f t="shared" si="1"/>
        <v>#VALUE!</v>
      </c>
      <c r="F75" s="272" t="e">
        <f t="shared" si="2"/>
        <v>#VALUE!</v>
      </c>
      <c r="G75" s="272" t="str">
        <f t="shared" si="6"/>
        <v/>
      </c>
      <c r="H75" s="272" t="str">
        <f t="shared" si="7"/>
        <v/>
      </c>
      <c r="I75" s="272" t="e">
        <f t="shared" si="3"/>
        <v>#VALUE!</v>
      </c>
      <c r="J75" s="272">
        <f>SUM($H$18:$H75)</f>
        <v>0</v>
      </c>
    </row>
    <row r="76" spans="1:10" x14ac:dyDescent="0.2">
      <c r="A76" s="269" t="str">
        <f t="shared" si="4"/>
        <v/>
      </c>
      <c r="B76" s="270" t="str">
        <f t="shared" si="0"/>
        <v/>
      </c>
      <c r="C76" s="272" t="str">
        <f t="shared" si="5"/>
        <v/>
      </c>
      <c r="D76" s="272" t="str">
        <f t="shared" si="8"/>
        <v/>
      </c>
      <c r="E76" s="273" t="e">
        <f t="shared" si="1"/>
        <v>#VALUE!</v>
      </c>
      <c r="F76" s="272" t="e">
        <f t="shared" si="2"/>
        <v>#VALUE!</v>
      </c>
      <c r="G76" s="272" t="str">
        <f t="shared" si="6"/>
        <v/>
      </c>
      <c r="H76" s="272" t="str">
        <f t="shared" si="7"/>
        <v/>
      </c>
      <c r="I76" s="272" t="e">
        <f t="shared" si="3"/>
        <v>#VALUE!</v>
      </c>
      <c r="J76" s="272">
        <f>SUM($H$18:$H76)</f>
        <v>0</v>
      </c>
    </row>
    <row r="77" spans="1:10" x14ac:dyDescent="0.2">
      <c r="A77" s="269" t="str">
        <f t="shared" si="4"/>
        <v/>
      </c>
      <c r="B77" s="270" t="str">
        <f t="shared" si="0"/>
        <v/>
      </c>
      <c r="C77" s="272" t="str">
        <f t="shared" si="5"/>
        <v/>
      </c>
      <c r="D77" s="272" t="str">
        <f t="shared" si="8"/>
        <v/>
      </c>
      <c r="E77" s="273" t="e">
        <f t="shared" si="1"/>
        <v>#VALUE!</v>
      </c>
      <c r="F77" s="272" t="e">
        <f t="shared" si="2"/>
        <v>#VALUE!</v>
      </c>
      <c r="G77" s="272" t="str">
        <f t="shared" si="6"/>
        <v/>
      </c>
      <c r="H77" s="272" t="str">
        <f t="shared" si="7"/>
        <v/>
      </c>
      <c r="I77" s="272" t="e">
        <f t="shared" si="3"/>
        <v>#VALUE!</v>
      </c>
      <c r="J77" s="272">
        <f>SUM($H$18:$H77)</f>
        <v>0</v>
      </c>
    </row>
    <row r="78" spans="1:10" x14ac:dyDescent="0.2">
      <c r="A78" s="286" t="str">
        <f t="shared" si="4"/>
        <v/>
      </c>
      <c r="B78" s="270" t="str">
        <f t="shared" si="0"/>
        <v/>
      </c>
      <c r="C78" s="272" t="str">
        <f t="shared" si="5"/>
        <v/>
      </c>
      <c r="D78" s="272" t="str">
        <f t="shared" si="8"/>
        <v/>
      </c>
      <c r="E78" s="273" t="e">
        <f t="shared" si="1"/>
        <v>#VALUE!</v>
      </c>
      <c r="F78" s="272" t="e">
        <f t="shared" si="2"/>
        <v>#VALUE!</v>
      </c>
      <c r="G78" s="272" t="str">
        <f t="shared" si="6"/>
        <v/>
      </c>
      <c r="H78" s="272" t="str">
        <f t="shared" si="7"/>
        <v/>
      </c>
      <c r="I78" s="272" t="e">
        <f t="shared" si="3"/>
        <v>#VALUE!</v>
      </c>
      <c r="J78" s="272">
        <f>SUM($H$18:$H78)</f>
        <v>0</v>
      </c>
    </row>
    <row r="79" spans="1:10" x14ac:dyDescent="0.2">
      <c r="A79" s="286" t="str">
        <f t="shared" si="4"/>
        <v/>
      </c>
      <c r="B79" s="270" t="str">
        <f t="shared" si="0"/>
        <v/>
      </c>
      <c r="C79" s="272" t="str">
        <f t="shared" si="5"/>
        <v/>
      </c>
      <c r="D79" s="272" t="str">
        <f t="shared" si="8"/>
        <v/>
      </c>
      <c r="E79" s="273" t="e">
        <f t="shared" si="1"/>
        <v>#VALUE!</v>
      </c>
      <c r="F79" s="272" t="e">
        <f t="shared" si="2"/>
        <v>#VALUE!</v>
      </c>
      <c r="G79" s="272" t="str">
        <f t="shared" si="6"/>
        <v/>
      </c>
      <c r="H79" s="272" t="str">
        <f t="shared" si="7"/>
        <v/>
      </c>
      <c r="I79" s="272" t="e">
        <f t="shared" si="3"/>
        <v>#VALUE!</v>
      </c>
      <c r="J79" s="272">
        <f>SUM($H$18:$H79)</f>
        <v>0</v>
      </c>
    </row>
    <row r="80" spans="1:10" x14ac:dyDescent="0.2">
      <c r="A80" s="286" t="str">
        <f t="shared" si="4"/>
        <v/>
      </c>
      <c r="B80" s="270" t="str">
        <f t="shared" si="0"/>
        <v/>
      </c>
      <c r="C80" s="272" t="str">
        <f t="shared" si="5"/>
        <v/>
      </c>
      <c r="D80" s="272" t="str">
        <f t="shared" si="8"/>
        <v/>
      </c>
      <c r="E80" s="273" t="e">
        <f t="shared" si="1"/>
        <v>#VALUE!</v>
      </c>
      <c r="F80" s="272" t="e">
        <f t="shared" si="2"/>
        <v>#VALUE!</v>
      </c>
      <c r="G80" s="272" t="str">
        <f t="shared" si="6"/>
        <v/>
      </c>
      <c r="H80" s="272" t="str">
        <f t="shared" si="7"/>
        <v/>
      </c>
      <c r="I80" s="272" t="e">
        <f t="shared" si="3"/>
        <v>#VALUE!</v>
      </c>
      <c r="J80" s="272">
        <f>SUM($H$18:$H80)</f>
        <v>0</v>
      </c>
    </row>
    <row r="81" spans="1:10" x14ac:dyDescent="0.2">
      <c r="A81" s="286" t="str">
        <f t="shared" si="4"/>
        <v/>
      </c>
      <c r="B81" s="270" t="str">
        <f t="shared" si="0"/>
        <v/>
      </c>
      <c r="C81" s="272" t="str">
        <f t="shared" si="5"/>
        <v/>
      </c>
      <c r="D81" s="272" t="str">
        <f t="shared" si="8"/>
        <v/>
      </c>
      <c r="E81" s="273" t="e">
        <f t="shared" si="1"/>
        <v>#VALUE!</v>
      </c>
      <c r="F81" s="272" t="e">
        <f t="shared" si="2"/>
        <v>#VALUE!</v>
      </c>
      <c r="G81" s="272" t="str">
        <f t="shared" si="6"/>
        <v/>
      </c>
      <c r="H81" s="272" t="str">
        <f t="shared" si="7"/>
        <v/>
      </c>
      <c r="I81" s="272" t="e">
        <f t="shared" si="3"/>
        <v>#VALUE!</v>
      </c>
      <c r="J81" s="272">
        <f>SUM($H$18:$H81)</f>
        <v>0</v>
      </c>
    </row>
    <row r="82" spans="1:10" x14ac:dyDescent="0.2">
      <c r="A82" s="286" t="str">
        <f t="shared" si="4"/>
        <v/>
      </c>
      <c r="B82" s="270" t="str">
        <f t="shared" ref="B82:B145" si="9">IF(Pay_Num&lt;&gt;"",DATE(YEAR(Loan_Start),MONTH(Loan_Start)+(Pay_Num)*12/Num_Pmt_Per_Year,DAY(Loan_Start)),"")</f>
        <v/>
      </c>
      <c r="C82" s="272" t="str">
        <f t="shared" si="5"/>
        <v/>
      </c>
      <c r="D82" s="272" t="str">
        <f t="shared" si="8"/>
        <v/>
      </c>
      <c r="E82" s="273" t="e">
        <f t="shared" ref="E82:E145" si="10">IF(AND(Pay_Num&lt;&gt;"",Sched_Pay+Scheduled_Extra_Payments&lt;Beg_Bal),Scheduled_Extra_Payments,IF(AND(Pay_Num&lt;&gt;"",Beg_Bal-Sched_Pay&gt;0),Beg_Bal-Sched_Pay,IF(Pay_Num&lt;&gt;"",0,"")))</f>
        <v>#VALUE!</v>
      </c>
      <c r="F82" s="272" t="e">
        <f t="shared" ref="F82:F145" si="11">IF(AND(Pay_Num&lt;&gt;"",Sched_Pay+Extra_Pay&lt;Beg_Bal),Sched_Pay+Extra_Pay,IF(Pay_Num&lt;&gt;"",Beg_Bal,""))</f>
        <v>#VALUE!</v>
      </c>
      <c r="G82" s="272" t="str">
        <f t="shared" si="6"/>
        <v/>
      </c>
      <c r="H82" s="272" t="str">
        <f t="shared" si="7"/>
        <v/>
      </c>
      <c r="I82" s="272" t="e">
        <f t="shared" ref="I82:I145" si="12">IF(AND(Pay_Num&lt;&gt;"",Sched_Pay+Extra_Pay&lt;Beg_Bal),Beg_Bal-Princ,IF(Pay_Num&lt;&gt;"",0,""))</f>
        <v>#VALUE!</v>
      </c>
      <c r="J82" s="272">
        <f>SUM($H$18:$H82)</f>
        <v>0</v>
      </c>
    </row>
    <row r="83" spans="1:10" x14ac:dyDescent="0.2">
      <c r="A83" s="286" t="str">
        <f t="shared" ref="A83:A146" si="13">IF(Values_Entered,A82+1,"")</f>
        <v/>
      </c>
      <c r="B83" s="270" t="str">
        <f t="shared" si="9"/>
        <v/>
      </c>
      <c r="C83" s="272" t="str">
        <f t="shared" ref="C83:C146" si="14">IF(Pay_Num&lt;&gt;"",I82,"")</f>
        <v/>
      </c>
      <c r="D83" s="272" t="str">
        <f t="shared" si="8"/>
        <v/>
      </c>
      <c r="E83" s="273" t="e">
        <f t="shared" si="10"/>
        <v>#VALUE!</v>
      </c>
      <c r="F83" s="272" t="e">
        <f t="shared" si="11"/>
        <v>#VALUE!</v>
      </c>
      <c r="G83" s="272" t="str">
        <f t="shared" ref="G83:G146" si="15">IF(Pay_Num&lt;&gt;"",Total_Pay-Int,"")</f>
        <v/>
      </c>
      <c r="H83" s="272" t="str">
        <f t="shared" ref="H83:H146" si="16">IF(Pay_Num&lt;&gt;"",Beg_Bal*Interest_Rate/Num_Pmt_Per_Year,"")</f>
        <v/>
      </c>
      <c r="I83" s="272" t="e">
        <f t="shared" si="12"/>
        <v>#VALUE!</v>
      </c>
      <c r="J83" s="272">
        <f>SUM($H$18:$H83)</f>
        <v>0</v>
      </c>
    </row>
    <row r="84" spans="1:10" x14ac:dyDescent="0.2">
      <c r="A84" s="286" t="str">
        <f t="shared" si="13"/>
        <v/>
      </c>
      <c r="B84" s="270" t="str">
        <f t="shared" si="9"/>
        <v/>
      </c>
      <c r="C84" s="272" t="str">
        <f t="shared" si="14"/>
        <v/>
      </c>
      <c r="D84" s="272" t="str">
        <f t="shared" ref="D84:D147" si="17">IF(Pay_Num&lt;&gt;"",Scheduled_Monthly_Payment,"")</f>
        <v/>
      </c>
      <c r="E84" s="273" t="e">
        <f t="shared" si="10"/>
        <v>#VALUE!</v>
      </c>
      <c r="F84" s="272" t="e">
        <f t="shared" si="11"/>
        <v>#VALUE!</v>
      </c>
      <c r="G84" s="272" t="str">
        <f t="shared" si="15"/>
        <v/>
      </c>
      <c r="H84" s="272" t="str">
        <f t="shared" si="16"/>
        <v/>
      </c>
      <c r="I84" s="272" t="e">
        <f t="shared" si="12"/>
        <v>#VALUE!</v>
      </c>
      <c r="J84" s="272">
        <f>SUM($H$18:$H84)</f>
        <v>0</v>
      </c>
    </row>
    <row r="85" spans="1:10" x14ac:dyDescent="0.2">
      <c r="A85" s="286" t="str">
        <f t="shared" si="13"/>
        <v/>
      </c>
      <c r="B85" s="270" t="str">
        <f t="shared" si="9"/>
        <v/>
      </c>
      <c r="C85" s="272" t="str">
        <f t="shared" si="14"/>
        <v/>
      </c>
      <c r="D85" s="272" t="str">
        <f t="shared" si="17"/>
        <v/>
      </c>
      <c r="E85" s="273" t="e">
        <f t="shared" si="10"/>
        <v>#VALUE!</v>
      </c>
      <c r="F85" s="272" t="e">
        <f t="shared" si="11"/>
        <v>#VALUE!</v>
      </c>
      <c r="G85" s="272" t="str">
        <f t="shared" si="15"/>
        <v/>
      </c>
      <c r="H85" s="272" t="str">
        <f t="shared" si="16"/>
        <v/>
      </c>
      <c r="I85" s="272" t="e">
        <f t="shared" si="12"/>
        <v>#VALUE!</v>
      </c>
      <c r="J85" s="272">
        <f>SUM($H$18:$H85)</f>
        <v>0</v>
      </c>
    </row>
    <row r="86" spans="1:10" x14ac:dyDescent="0.2">
      <c r="A86" s="286" t="str">
        <f t="shared" si="13"/>
        <v/>
      </c>
      <c r="B86" s="270" t="str">
        <f t="shared" si="9"/>
        <v/>
      </c>
      <c r="C86" s="272" t="str">
        <f t="shared" si="14"/>
        <v/>
      </c>
      <c r="D86" s="272" t="str">
        <f t="shared" si="17"/>
        <v/>
      </c>
      <c r="E86" s="273" t="e">
        <f t="shared" si="10"/>
        <v>#VALUE!</v>
      </c>
      <c r="F86" s="272" t="e">
        <f t="shared" si="11"/>
        <v>#VALUE!</v>
      </c>
      <c r="G86" s="272" t="str">
        <f t="shared" si="15"/>
        <v/>
      </c>
      <c r="H86" s="272" t="str">
        <f t="shared" si="16"/>
        <v/>
      </c>
      <c r="I86" s="272" t="e">
        <f t="shared" si="12"/>
        <v>#VALUE!</v>
      </c>
      <c r="J86" s="272">
        <f>SUM($H$18:$H86)</f>
        <v>0</v>
      </c>
    </row>
    <row r="87" spans="1:10" x14ac:dyDescent="0.2">
      <c r="A87" s="286" t="str">
        <f t="shared" si="13"/>
        <v/>
      </c>
      <c r="B87" s="270" t="str">
        <f t="shared" si="9"/>
        <v/>
      </c>
      <c r="C87" s="272" t="str">
        <f t="shared" si="14"/>
        <v/>
      </c>
      <c r="D87" s="272" t="str">
        <f t="shared" si="17"/>
        <v/>
      </c>
      <c r="E87" s="273" t="e">
        <f t="shared" si="10"/>
        <v>#VALUE!</v>
      </c>
      <c r="F87" s="272" t="e">
        <f t="shared" si="11"/>
        <v>#VALUE!</v>
      </c>
      <c r="G87" s="272" t="str">
        <f t="shared" si="15"/>
        <v/>
      </c>
      <c r="H87" s="272" t="str">
        <f t="shared" si="16"/>
        <v/>
      </c>
      <c r="I87" s="272" t="e">
        <f t="shared" si="12"/>
        <v>#VALUE!</v>
      </c>
      <c r="J87" s="272">
        <f>SUM($H$18:$H87)</f>
        <v>0</v>
      </c>
    </row>
    <row r="88" spans="1:10" x14ac:dyDescent="0.2">
      <c r="A88" s="286" t="str">
        <f t="shared" si="13"/>
        <v/>
      </c>
      <c r="B88" s="270" t="str">
        <f t="shared" si="9"/>
        <v/>
      </c>
      <c r="C88" s="272" t="str">
        <f t="shared" si="14"/>
        <v/>
      </c>
      <c r="D88" s="272" t="str">
        <f t="shared" si="17"/>
        <v/>
      </c>
      <c r="E88" s="273" t="e">
        <f t="shared" si="10"/>
        <v>#VALUE!</v>
      </c>
      <c r="F88" s="272" t="e">
        <f t="shared" si="11"/>
        <v>#VALUE!</v>
      </c>
      <c r="G88" s="272" t="str">
        <f t="shared" si="15"/>
        <v/>
      </c>
      <c r="H88" s="272" t="str">
        <f t="shared" si="16"/>
        <v/>
      </c>
      <c r="I88" s="272" t="e">
        <f t="shared" si="12"/>
        <v>#VALUE!</v>
      </c>
      <c r="J88" s="272">
        <f>SUM($H$18:$H88)</f>
        <v>0</v>
      </c>
    </row>
    <row r="89" spans="1:10" x14ac:dyDescent="0.2">
      <c r="A89" s="286" t="str">
        <f t="shared" si="13"/>
        <v/>
      </c>
      <c r="B89" s="270" t="str">
        <f t="shared" si="9"/>
        <v/>
      </c>
      <c r="C89" s="272" t="str">
        <f t="shared" si="14"/>
        <v/>
      </c>
      <c r="D89" s="272" t="str">
        <f t="shared" si="17"/>
        <v/>
      </c>
      <c r="E89" s="273" t="e">
        <f t="shared" si="10"/>
        <v>#VALUE!</v>
      </c>
      <c r="F89" s="272" t="e">
        <f t="shared" si="11"/>
        <v>#VALUE!</v>
      </c>
      <c r="G89" s="272" t="str">
        <f t="shared" si="15"/>
        <v/>
      </c>
      <c r="H89" s="272" t="str">
        <f t="shared" si="16"/>
        <v/>
      </c>
      <c r="I89" s="272" t="e">
        <f t="shared" si="12"/>
        <v>#VALUE!</v>
      </c>
      <c r="J89" s="272">
        <f>SUM($H$18:$H89)</f>
        <v>0</v>
      </c>
    </row>
    <row r="90" spans="1:10" x14ac:dyDescent="0.2">
      <c r="A90" s="286" t="str">
        <f t="shared" si="13"/>
        <v/>
      </c>
      <c r="B90" s="270" t="str">
        <f t="shared" si="9"/>
        <v/>
      </c>
      <c r="C90" s="272" t="str">
        <f t="shared" si="14"/>
        <v/>
      </c>
      <c r="D90" s="272" t="str">
        <f t="shared" si="17"/>
        <v/>
      </c>
      <c r="E90" s="273" t="e">
        <f t="shared" si="10"/>
        <v>#VALUE!</v>
      </c>
      <c r="F90" s="272" t="e">
        <f t="shared" si="11"/>
        <v>#VALUE!</v>
      </c>
      <c r="G90" s="272" t="str">
        <f t="shared" si="15"/>
        <v/>
      </c>
      <c r="H90" s="272" t="str">
        <f t="shared" si="16"/>
        <v/>
      </c>
      <c r="I90" s="272" t="e">
        <f t="shared" si="12"/>
        <v>#VALUE!</v>
      </c>
      <c r="J90" s="272">
        <f>SUM($H$18:$H90)</f>
        <v>0</v>
      </c>
    </row>
    <row r="91" spans="1:10" x14ac:dyDescent="0.2">
      <c r="A91" s="286" t="str">
        <f t="shared" si="13"/>
        <v/>
      </c>
      <c r="B91" s="270" t="str">
        <f t="shared" si="9"/>
        <v/>
      </c>
      <c r="C91" s="272" t="str">
        <f t="shared" si="14"/>
        <v/>
      </c>
      <c r="D91" s="272" t="str">
        <f t="shared" si="17"/>
        <v/>
      </c>
      <c r="E91" s="273" t="e">
        <f t="shared" si="10"/>
        <v>#VALUE!</v>
      </c>
      <c r="F91" s="272" t="e">
        <f t="shared" si="11"/>
        <v>#VALUE!</v>
      </c>
      <c r="G91" s="272" t="str">
        <f t="shared" si="15"/>
        <v/>
      </c>
      <c r="H91" s="272" t="str">
        <f t="shared" si="16"/>
        <v/>
      </c>
      <c r="I91" s="272" t="e">
        <f t="shared" si="12"/>
        <v>#VALUE!</v>
      </c>
      <c r="J91" s="272">
        <f>SUM($H$18:$H91)</f>
        <v>0</v>
      </c>
    </row>
    <row r="92" spans="1:10" x14ac:dyDescent="0.2">
      <c r="A92" s="286" t="str">
        <f t="shared" si="13"/>
        <v/>
      </c>
      <c r="B92" s="270" t="str">
        <f t="shared" si="9"/>
        <v/>
      </c>
      <c r="C92" s="272" t="str">
        <f t="shared" si="14"/>
        <v/>
      </c>
      <c r="D92" s="272" t="str">
        <f t="shared" si="17"/>
        <v/>
      </c>
      <c r="E92" s="273" t="e">
        <f t="shared" si="10"/>
        <v>#VALUE!</v>
      </c>
      <c r="F92" s="272" t="e">
        <f t="shared" si="11"/>
        <v>#VALUE!</v>
      </c>
      <c r="G92" s="272" t="str">
        <f t="shared" si="15"/>
        <v/>
      </c>
      <c r="H92" s="272" t="str">
        <f t="shared" si="16"/>
        <v/>
      </c>
      <c r="I92" s="272" t="e">
        <f t="shared" si="12"/>
        <v>#VALUE!</v>
      </c>
      <c r="J92" s="272">
        <f>SUM($H$18:$H92)</f>
        <v>0</v>
      </c>
    </row>
    <row r="93" spans="1:10" x14ac:dyDescent="0.2">
      <c r="A93" s="286" t="str">
        <f t="shared" si="13"/>
        <v/>
      </c>
      <c r="B93" s="270" t="str">
        <f t="shared" si="9"/>
        <v/>
      </c>
      <c r="C93" s="272" t="str">
        <f t="shared" si="14"/>
        <v/>
      </c>
      <c r="D93" s="272" t="str">
        <f t="shared" si="17"/>
        <v/>
      </c>
      <c r="E93" s="273" t="e">
        <f t="shared" si="10"/>
        <v>#VALUE!</v>
      </c>
      <c r="F93" s="272" t="e">
        <f t="shared" si="11"/>
        <v>#VALUE!</v>
      </c>
      <c r="G93" s="272" t="str">
        <f t="shared" si="15"/>
        <v/>
      </c>
      <c r="H93" s="272" t="str">
        <f t="shared" si="16"/>
        <v/>
      </c>
      <c r="I93" s="272" t="e">
        <f t="shared" si="12"/>
        <v>#VALUE!</v>
      </c>
      <c r="J93" s="272">
        <f>SUM($H$18:$H93)</f>
        <v>0</v>
      </c>
    </row>
    <row r="94" spans="1:10" x14ac:dyDescent="0.2">
      <c r="A94" s="286" t="str">
        <f t="shared" si="13"/>
        <v/>
      </c>
      <c r="B94" s="270" t="str">
        <f t="shared" si="9"/>
        <v/>
      </c>
      <c r="C94" s="272" t="str">
        <f t="shared" si="14"/>
        <v/>
      </c>
      <c r="D94" s="272" t="str">
        <f t="shared" si="17"/>
        <v/>
      </c>
      <c r="E94" s="273" t="e">
        <f t="shared" si="10"/>
        <v>#VALUE!</v>
      </c>
      <c r="F94" s="272" t="e">
        <f t="shared" si="11"/>
        <v>#VALUE!</v>
      </c>
      <c r="G94" s="272" t="str">
        <f t="shared" si="15"/>
        <v/>
      </c>
      <c r="H94" s="272" t="str">
        <f t="shared" si="16"/>
        <v/>
      </c>
      <c r="I94" s="272" t="e">
        <f t="shared" si="12"/>
        <v>#VALUE!</v>
      </c>
      <c r="J94" s="272">
        <f>SUM($H$18:$H94)</f>
        <v>0</v>
      </c>
    </row>
    <row r="95" spans="1:10" x14ac:dyDescent="0.2">
      <c r="A95" s="286" t="str">
        <f t="shared" si="13"/>
        <v/>
      </c>
      <c r="B95" s="270" t="str">
        <f t="shared" si="9"/>
        <v/>
      </c>
      <c r="C95" s="272" t="str">
        <f t="shared" si="14"/>
        <v/>
      </c>
      <c r="D95" s="272" t="str">
        <f t="shared" si="17"/>
        <v/>
      </c>
      <c r="E95" s="273" t="e">
        <f t="shared" si="10"/>
        <v>#VALUE!</v>
      </c>
      <c r="F95" s="272" t="e">
        <f t="shared" si="11"/>
        <v>#VALUE!</v>
      </c>
      <c r="G95" s="272" t="str">
        <f t="shared" si="15"/>
        <v/>
      </c>
      <c r="H95" s="272" t="str">
        <f t="shared" si="16"/>
        <v/>
      </c>
      <c r="I95" s="272" t="e">
        <f t="shared" si="12"/>
        <v>#VALUE!</v>
      </c>
      <c r="J95" s="272">
        <f>SUM($H$18:$H95)</f>
        <v>0</v>
      </c>
    </row>
    <row r="96" spans="1:10" x14ac:dyDescent="0.2">
      <c r="A96" s="286" t="str">
        <f t="shared" si="13"/>
        <v/>
      </c>
      <c r="B96" s="270" t="str">
        <f t="shared" si="9"/>
        <v/>
      </c>
      <c r="C96" s="272" t="str">
        <f t="shared" si="14"/>
        <v/>
      </c>
      <c r="D96" s="272" t="str">
        <f t="shared" si="17"/>
        <v/>
      </c>
      <c r="E96" s="273" t="e">
        <f t="shared" si="10"/>
        <v>#VALUE!</v>
      </c>
      <c r="F96" s="272" t="e">
        <f t="shared" si="11"/>
        <v>#VALUE!</v>
      </c>
      <c r="G96" s="272" t="str">
        <f t="shared" si="15"/>
        <v/>
      </c>
      <c r="H96" s="272" t="str">
        <f t="shared" si="16"/>
        <v/>
      </c>
      <c r="I96" s="272" t="e">
        <f t="shared" si="12"/>
        <v>#VALUE!</v>
      </c>
      <c r="J96" s="272">
        <f>SUM($H$18:$H96)</f>
        <v>0</v>
      </c>
    </row>
    <row r="97" spans="1:10" x14ac:dyDescent="0.2">
      <c r="A97" s="286" t="str">
        <f t="shared" si="13"/>
        <v/>
      </c>
      <c r="B97" s="270" t="str">
        <f t="shared" si="9"/>
        <v/>
      </c>
      <c r="C97" s="272" t="str">
        <f t="shared" si="14"/>
        <v/>
      </c>
      <c r="D97" s="272" t="str">
        <f t="shared" si="17"/>
        <v/>
      </c>
      <c r="E97" s="273" t="e">
        <f t="shared" si="10"/>
        <v>#VALUE!</v>
      </c>
      <c r="F97" s="272" t="e">
        <f t="shared" si="11"/>
        <v>#VALUE!</v>
      </c>
      <c r="G97" s="272" t="str">
        <f t="shared" si="15"/>
        <v/>
      </c>
      <c r="H97" s="272" t="str">
        <f t="shared" si="16"/>
        <v/>
      </c>
      <c r="I97" s="272" t="e">
        <f t="shared" si="12"/>
        <v>#VALUE!</v>
      </c>
      <c r="J97" s="272">
        <f>SUM($H$18:$H97)</f>
        <v>0</v>
      </c>
    </row>
    <row r="98" spans="1:10" x14ac:dyDescent="0.2">
      <c r="A98" s="286" t="str">
        <f t="shared" si="13"/>
        <v/>
      </c>
      <c r="B98" s="270" t="str">
        <f t="shared" si="9"/>
        <v/>
      </c>
      <c r="C98" s="272" t="str">
        <f t="shared" si="14"/>
        <v/>
      </c>
      <c r="D98" s="272" t="str">
        <f t="shared" si="17"/>
        <v/>
      </c>
      <c r="E98" s="273" t="e">
        <f t="shared" si="10"/>
        <v>#VALUE!</v>
      </c>
      <c r="F98" s="272" t="e">
        <f t="shared" si="11"/>
        <v>#VALUE!</v>
      </c>
      <c r="G98" s="272" t="str">
        <f t="shared" si="15"/>
        <v/>
      </c>
      <c r="H98" s="272" t="str">
        <f t="shared" si="16"/>
        <v/>
      </c>
      <c r="I98" s="272" t="e">
        <f t="shared" si="12"/>
        <v>#VALUE!</v>
      </c>
      <c r="J98" s="272">
        <f>SUM($H$18:$H98)</f>
        <v>0</v>
      </c>
    </row>
    <row r="99" spans="1:10" x14ac:dyDescent="0.2">
      <c r="A99" s="286" t="str">
        <f t="shared" si="13"/>
        <v/>
      </c>
      <c r="B99" s="270" t="str">
        <f t="shared" si="9"/>
        <v/>
      </c>
      <c r="C99" s="272" t="str">
        <f t="shared" si="14"/>
        <v/>
      </c>
      <c r="D99" s="272" t="str">
        <f t="shared" si="17"/>
        <v/>
      </c>
      <c r="E99" s="273" t="e">
        <f t="shared" si="10"/>
        <v>#VALUE!</v>
      </c>
      <c r="F99" s="272" t="e">
        <f t="shared" si="11"/>
        <v>#VALUE!</v>
      </c>
      <c r="G99" s="272" t="str">
        <f t="shared" si="15"/>
        <v/>
      </c>
      <c r="H99" s="272" t="str">
        <f t="shared" si="16"/>
        <v/>
      </c>
      <c r="I99" s="272" t="e">
        <f t="shared" si="12"/>
        <v>#VALUE!</v>
      </c>
      <c r="J99" s="272">
        <f>SUM($H$18:$H99)</f>
        <v>0</v>
      </c>
    </row>
    <row r="100" spans="1:10" x14ac:dyDescent="0.2">
      <c r="A100" s="286" t="str">
        <f t="shared" si="13"/>
        <v/>
      </c>
      <c r="B100" s="270" t="str">
        <f t="shared" si="9"/>
        <v/>
      </c>
      <c r="C100" s="272" t="str">
        <f t="shared" si="14"/>
        <v/>
      </c>
      <c r="D100" s="272" t="str">
        <f t="shared" si="17"/>
        <v/>
      </c>
      <c r="E100" s="273" t="e">
        <f t="shared" si="10"/>
        <v>#VALUE!</v>
      </c>
      <c r="F100" s="272" t="e">
        <f t="shared" si="11"/>
        <v>#VALUE!</v>
      </c>
      <c r="G100" s="272" t="str">
        <f t="shared" si="15"/>
        <v/>
      </c>
      <c r="H100" s="272" t="str">
        <f t="shared" si="16"/>
        <v/>
      </c>
      <c r="I100" s="272" t="e">
        <f t="shared" si="12"/>
        <v>#VALUE!</v>
      </c>
      <c r="J100" s="272">
        <f>SUM($H$18:$H100)</f>
        <v>0</v>
      </c>
    </row>
    <row r="101" spans="1:10" x14ac:dyDescent="0.2">
      <c r="A101" s="286" t="str">
        <f t="shared" si="13"/>
        <v/>
      </c>
      <c r="B101" s="270" t="str">
        <f t="shared" si="9"/>
        <v/>
      </c>
      <c r="C101" s="272" t="str">
        <f t="shared" si="14"/>
        <v/>
      </c>
      <c r="D101" s="272" t="str">
        <f t="shared" si="17"/>
        <v/>
      </c>
      <c r="E101" s="273" t="e">
        <f t="shared" si="10"/>
        <v>#VALUE!</v>
      </c>
      <c r="F101" s="272" t="e">
        <f t="shared" si="11"/>
        <v>#VALUE!</v>
      </c>
      <c r="G101" s="272" t="str">
        <f t="shared" si="15"/>
        <v/>
      </c>
      <c r="H101" s="272" t="str">
        <f t="shared" si="16"/>
        <v/>
      </c>
      <c r="I101" s="272" t="e">
        <f t="shared" si="12"/>
        <v>#VALUE!</v>
      </c>
      <c r="J101" s="272">
        <f>SUM($H$18:$H101)</f>
        <v>0</v>
      </c>
    </row>
    <row r="102" spans="1:10" x14ac:dyDescent="0.2">
      <c r="A102" s="286" t="str">
        <f t="shared" si="13"/>
        <v/>
      </c>
      <c r="B102" s="270" t="str">
        <f t="shared" si="9"/>
        <v/>
      </c>
      <c r="C102" s="272" t="str">
        <f t="shared" si="14"/>
        <v/>
      </c>
      <c r="D102" s="272" t="str">
        <f t="shared" si="17"/>
        <v/>
      </c>
      <c r="E102" s="273" t="e">
        <f t="shared" si="10"/>
        <v>#VALUE!</v>
      </c>
      <c r="F102" s="272" t="e">
        <f t="shared" si="11"/>
        <v>#VALUE!</v>
      </c>
      <c r="G102" s="272" t="str">
        <f t="shared" si="15"/>
        <v/>
      </c>
      <c r="H102" s="272" t="str">
        <f t="shared" si="16"/>
        <v/>
      </c>
      <c r="I102" s="272" t="e">
        <f t="shared" si="12"/>
        <v>#VALUE!</v>
      </c>
      <c r="J102" s="272">
        <f>SUM($H$18:$H102)</f>
        <v>0</v>
      </c>
    </row>
    <row r="103" spans="1:10" x14ac:dyDescent="0.2">
      <c r="A103" s="286" t="str">
        <f t="shared" si="13"/>
        <v/>
      </c>
      <c r="B103" s="270" t="str">
        <f t="shared" si="9"/>
        <v/>
      </c>
      <c r="C103" s="272" t="str">
        <f t="shared" si="14"/>
        <v/>
      </c>
      <c r="D103" s="272" t="str">
        <f t="shared" si="17"/>
        <v/>
      </c>
      <c r="E103" s="273" t="e">
        <f t="shared" si="10"/>
        <v>#VALUE!</v>
      </c>
      <c r="F103" s="272" t="e">
        <f t="shared" si="11"/>
        <v>#VALUE!</v>
      </c>
      <c r="G103" s="272" t="str">
        <f t="shared" si="15"/>
        <v/>
      </c>
      <c r="H103" s="272" t="str">
        <f t="shared" si="16"/>
        <v/>
      </c>
      <c r="I103" s="272" t="e">
        <f t="shared" si="12"/>
        <v>#VALUE!</v>
      </c>
      <c r="J103" s="272">
        <f>SUM($H$18:$H103)</f>
        <v>0</v>
      </c>
    </row>
    <row r="104" spans="1:10" x14ac:dyDescent="0.2">
      <c r="A104" s="286" t="str">
        <f t="shared" si="13"/>
        <v/>
      </c>
      <c r="B104" s="270" t="str">
        <f t="shared" si="9"/>
        <v/>
      </c>
      <c r="C104" s="272" t="str">
        <f t="shared" si="14"/>
        <v/>
      </c>
      <c r="D104" s="272" t="str">
        <f t="shared" si="17"/>
        <v/>
      </c>
      <c r="E104" s="273" t="e">
        <f t="shared" si="10"/>
        <v>#VALUE!</v>
      </c>
      <c r="F104" s="272" t="e">
        <f t="shared" si="11"/>
        <v>#VALUE!</v>
      </c>
      <c r="G104" s="272" t="str">
        <f t="shared" si="15"/>
        <v/>
      </c>
      <c r="H104" s="272" t="str">
        <f t="shared" si="16"/>
        <v/>
      </c>
      <c r="I104" s="272" t="e">
        <f t="shared" si="12"/>
        <v>#VALUE!</v>
      </c>
      <c r="J104" s="272">
        <f>SUM($H$18:$H104)</f>
        <v>0</v>
      </c>
    </row>
    <row r="105" spans="1:10" x14ac:dyDescent="0.2">
      <c r="A105" s="286" t="str">
        <f t="shared" si="13"/>
        <v/>
      </c>
      <c r="B105" s="270" t="str">
        <f t="shared" si="9"/>
        <v/>
      </c>
      <c r="C105" s="272" t="str">
        <f t="shared" si="14"/>
        <v/>
      </c>
      <c r="D105" s="272" t="str">
        <f t="shared" si="17"/>
        <v/>
      </c>
      <c r="E105" s="273" t="e">
        <f t="shared" si="10"/>
        <v>#VALUE!</v>
      </c>
      <c r="F105" s="272" t="e">
        <f t="shared" si="11"/>
        <v>#VALUE!</v>
      </c>
      <c r="G105" s="272" t="str">
        <f t="shared" si="15"/>
        <v/>
      </c>
      <c r="H105" s="272" t="str">
        <f t="shared" si="16"/>
        <v/>
      </c>
      <c r="I105" s="272" t="e">
        <f t="shared" si="12"/>
        <v>#VALUE!</v>
      </c>
      <c r="J105" s="272">
        <f>SUM($H$18:$H105)</f>
        <v>0</v>
      </c>
    </row>
    <row r="106" spans="1:10" x14ac:dyDescent="0.2">
      <c r="A106" s="286" t="str">
        <f t="shared" si="13"/>
        <v/>
      </c>
      <c r="B106" s="270" t="str">
        <f t="shared" si="9"/>
        <v/>
      </c>
      <c r="C106" s="272" t="str">
        <f t="shared" si="14"/>
        <v/>
      </c>
      <c r="D106" s="272" t="str">
        <f t="shared" si="17"/>
        <v/>
      </c>
      <c r="E106" s="273" t="e">
        <f t="shared" si="10"/>
        <v>#VALUE!</v>
      </c>
      <c r="F106" s="272" t="e">
        <f t="shared" si="11"/>
        <v>#VALUE!</v>
      </c>
      <c r="G106" s="272" t="str">
        <f t="shared" si="15"/>
        <v/>
      </c>
      <c r="H106" s="272" t="str">
        <f t="shared" si="16"/>
        <v/>
      </c>
      <c r="I106" s="272" t="e">
        <f t="shared" si="12"/>
        <v>#VALUE!</v>
      </c>
      <c r="J106" s="272">
        <f>SUM($H$18:$H106)</f>
        <v>0</v>
      </c>
    </row>
    <row r="107" spans="1:10" x14ac:dyDescent="0.2">
      <c r="A107" s="286" t="str">
        <f t="shared" si="13"/>
        <v/>
      </c>
      <c r="B107" s="270" t="str">
        <f t="shared" si="9"/>
        <v/>
      </c>
      <c r="C107" s="272" t="str">
        <f t="shared" si="14"/>
        <v/>
      </c>
      <c r="D107" s="272" t="str">
        <f t="shared" si="17"/>
        <v/>
      </c>
      <c r="E107" s="273" t="e">
        <f t="shared" si="10"/>
        <v>#VALUE!</v>
      </c>
      <c r="F107" s="272" t="e">
        <f t="shared" si="11"/>
        <v>#VALUE!</v>
      </c>
      <c r="G107" s="272" t="str">
        <f t="shared" si="15"/>
        <v/>
      </c>
      <c r="H107" s="272" t="str">
        <f t="shared" si="16"/>
        <v/>
      </c>
      <c r="I107" s="272" t="e">
        <f t="shared" si="12"/>
        <v>#VALUE!</v>
      </c>
      <c r="J107" s="272">
        <f>SUM($H$18:$H107)</f>
        <v>0</v>
      </c>
    </row>
    <row r="108" spans="1:10" x14ac:dyDescent="0.2">
      <c r="A108" s="286" t="str">
        <f t="shared" si="13"/>
        <v/>
      </c>
      <c r="B108" s="270" t="str">
        <f t="shared" si="9"/>
        <v/>
      </c>
      <c r="C108" s="272" t="str">
        <f t="shared" si="14"/>
        <v/>
      </c>
      <c r="D108" s="272" t="str">
        <f t="shared" si="17"/>
        <v/>
      </c>
      <c r="E108" s="273" t="e">
        <f t="shared" si="10"/>
        <v>#VALUE!</v>
      </c>
      <c r="F108" s="272" t="e">
        <f t="shared" si="11"/>
        <v>#VALUE!</v>
      </c>
      <c r="G108" s="272" t="str">
        <f t="shared" si="15"/>
        <v/>
      </c>
      <c r="H108" s="272" t="str">
        <f t="shared" si="16"/>
        <v/>
      </c>
      <c r="I108" s="272" t="e">
        <f t="shared" si="12"/>
        <v>#VALUE!</v>
      </c>
      <c r="J108" s="272">
        <f>SUM($H$18:$H108)</f>
        <v>0</v>
      </c>
    </row>
    <row r="109" spans="1:10" x14ac:dyDescent="0.2">
      <c r="A109" s="286" t="str">
        <f t="shared" si="13"/>
        <v/>
      </c>
      <c r="B109" s="270" t="str">
        <f t="shared" si="9"/>
        <v/>
      </c>
      <c r="C109" s="272" t="str">
        <f t="shared" si="14"/>
        <v/>
      </c>
      <c r="D109" s="272" t="str">
        <f t="shared" si="17"/>
        <v/>
      </c>
      <c r="E109" s="273" t="e">
        <f t="shared" si="10"/>
        <v>#VALUE!</v>
      </c>
      <c r="F109" s="272" t="e">
        <f t="shared" si="11"/>
        <v>#VALUE!</v>
      </c>
      <c r="G109" s="272" t="str">
        <f t="shared" si="15"/>
        <v/>
      </c>
      <c r="H109" s="272" t="str">
        <f t="shared" si="16"/>
        <v/>
      </c>
      <c r="I109" s="272" t="e">
        <f t="shared" si="12"/>
        <v>#VALUE!</v>
      </c>
      <c r="J109" s="272">
        <f>SUM($H$18:$H109)</f>
        <v>0</v>
      </c>
    </row>
    <row r="110" spans="1:10" x14ac:dyDescent="0.2">
      <c r="A110" s="286" t="str">
        <f t="shared" si="13"/>
        <v/>
      </c>
      <c r="B110" s="270" t="str">
        <f t="shared" si="9"/>
        <v/>
      </c>
      <c r="C110" s="272" t="str">
        <f t="shared" si="14"/>
        <v/>
      </c>
      <c r="D110" s="272" t="str">
        <f t="shared" si="17"/>
        <v/>
      </c>
      <c r="E110" s="273" t="e">
        <f t="shared" si="10"/>
        <v>#VALUE!</v>
      </c>
      <c r="F110" s="272" t="e">
        <f t="shared" si="11"/>
        <v>#VALUE!</v>
      </c>
      <c r="G110" s="272" t="str">
        <f t="shared" si="15"/>
        <v/>
      </c>
      <c r="H110" s="272" t="str">
        <f t="shared" si="16"/>
        <v/>
      </c>
      <c r="I110" s="272" t="e">
        <f t="shared" si="12"/>
        <v>#VALUE!</v>
      </c>
      <c r="J110" s="272">
        <f>SUM($H$18:$H110)</f>
        <v>0</v>
      </c>
    </row>
    <row r="111" spans="1:10" x14ac:dyDescent="0.2">
      <c r="A111" s="286" t="str">
        <f t="shared" si="13"/>
        <v/>
      </c>
      <c r="B111" s="270" t="str">
        <f t="shared" si="9"/>
        <v/>
      </c>
      <c r="C111" s="272" t="str">
        <f t="shared" si="14"/>
        <v/>
      </c>
      <c r="D111" s="272" t="str">
        <f t="shared" si="17"/>
        <v/>
      </c>
      <c r="E111" s="273" t="e">
        <f t="shared" si="10"/>
        <v>#VALUE!</v>
      </c>
      <c r="F111" s="272" t="e">
        <f t="shared" si="11"/>
        <v>#VALUE!</v>
      </c>
      <c r="G111" s="272" t="str">
        <f t="shared" si="15"/>
        <v/>
      </c>
      <c r="H111" s="272" t="str">
        <f t="shared" si="16"/>
        <v/>
      </c>
      <c r="I111" s="272" t="e">
        <f t="shared" si="12"/>
        <v>#VALUE!</v>
      </c>
      <c r="J111" s="272">
        <f>SUM($H$18:$H111)</f>
        <v>0</v>
      </c>
    </row>
    <row r="112" spans="1:10" x14ac:dyDescent="0.2">
      <c r="A112" s="286" t="str">
        <f t="shared" si="13"/>
        <v/>
      </c>
      <c r="B112" s="270" t="str">
        <f t="shared" si="9"/>
        <v/>
      </c>
      <c r="C112" s="272" t="str">
        <f t="shared" si="14"/>
        <v/>
      </c>
      <c r="D112" s="272" t="str">
        <f t="shared" si="17"/>
        <v/>
      </c>
      <c r="E112" s="273" t="e">
        <f t="shared" si="10"/>
        <v>#VALUE!</v>
      </c>
      <c r="F112" s="272" t="e">
        <f t="shared" si="11"/>
        <v>#VALUE!</v>
      </c>
      <c r="G112" s="272" t="str">
        <f t="shared" si="15"/>
        <v/>
      </c>
      <c r="H112" s="272" t="str">
        <f t="shared" si="16"/>
        <v/>
      </c>
      <c r="I112" s="272" t="e">
        <f t="shared" si="12"/>
        <v>#VALUE!</v>
      </c>
      <c r="J112" s="272">
        <f>SUM($H$18:$H112)</f>
        <v>0</v>
      </c>
    </row>
    <row r="113" spans="1:10" x14ac:dyDescent="0.2">
      <c r="A113" s="286" t="str">
        <f t="shared" si="13"/>
        <v/>
      </c>
      <c r="B113" s="270" t="str">
        <f t="shared" si="9"/>
        <v/>
      </c>
      <c r="C113" s="272" t="str">
        <f t="shared" si="14"/>
        <v/>
      </c>
      <c r="D113" s="272" t="str">
        <f t="shared" si="17"/>
        <v/>
      </c>
      <c r="E113" s="273" t="e">
        <f t="shared" si="10"/>
        <v>#VALUE!</v>
      </c>
      <c r="F113" s="272" t="e">
        <f t="shared" si="11"/>
        <v>#VALUE!</v>
      </c>
      <c r="G113" s="272" t="str">
        <f t="shared" si="15"/>
        <v/>
      </c>
      <c r="H113" s="272" t="str">
        <f t="shared" si="16"/>
        <v/>
      </c>
      <c r="I113" s="272" t="e">
        <f t="shared" si="12"/>
        <v>#VALUE!</v>
      </c>
      <c r="J113" s="272">
        <f>SUM($H$18:$H113)</f>
        <v>0</v>
      </c>
    </row>
    <row r="114" spans="1:10" x14ac:dyDescent="0.2">
      <c r="A114" s="286" t="str">
        <f t="shared" si="13"/>
        <v/>
      </c>
      <c r="B114" s="270" t="str">
        <f t="shared" si="9"/>
        <v/>
      </c>
      <c r="C114" s="272" t="str">
        <f t="shared" si="14"/>
        <v/>
      </c>
      <c r="D114" s="272" t="str">
        <f t="shared" si="17"/>
        <v/>
      </c>
      <c r="E114" s="273" t="e">
        <f t="shared" si="10"/>
        <v>#VALUE!</v>
      </c>
      <c r="F114" s="272" t="e">
        <f t="shared" si="11"/>
        <v>#VALUE!</v>
      </c>
      <c r="G114" s="272" t="str">
        <f t="shared" si="15"/>
        <v/>
      </c>
      <c r="H114" s="272" t="str">
        <f t="shared" si="16"/>
        <v/>
      </c>
      <c r="I114" s="272" t="e">
        <f t="shared" si="12"/>
        <v>#VALUE!</v>
      </c>
      <c r="J114" s="272">
        <f>SUM($H$18:$H114)</f>
        <v>0</v>
      </c>
    </row>
    <row r="115" spans="1:10" x14ac:dyDescent="0.2">
      <c r="A115" s="286" t="str">
        <f t="shared" si="13"/>
        <v/>
      </c>
      <c r="B115" s="270" t="str">
        <f t="shared" si="9"/>
        <v/>
      </c>
      <c r="C115" s="272" t="str">
        <f t="shared" si="14"/>
        <v/>
      </c>
      <c r="D115" s="272" t="str">
        <f t="shared" si="17"/>
        <v/>
      </c>
      <c r="E115" s="273" t="e">
        <f t="shared" si="10"/>
        <v>#VALUE!</v>
      </c>
      <c r="F115" s="272" t="e">
        <f t="shared" si="11"/>
        <v>#VALUE!</v>
      </c>
      <c r="G115" s="272" t="str">
        <f t="shared" si="15"/>
        <v/>
      </c>
      <c r="H115" s="272" t="str">
        <f t="shared" si="16"/>
        <v/>
      </c>
      <c r="I115" s="272" t="e">
        <f t="shared" si="12"/>
        <v>#VALUE!</v>
      </c>
      <c r="J115" s="272">
        <f>SUM($H$18:$H115)</f>
        <v>0</v>
      </c>
    </row>
    <row r="116" spans="1:10" x14ac:dyDescent="0.2">
      <c r="A116" s="286" t="str">
        <f t="shared" si="13"/>
        <v/>
      </c>
      <c r="B116" s="270" t="str">
        <f t="shared" si="9"/>
        <v/>
      </c>
      <c r="C116" s="272" t="str">
        <f t="shared" si="14"/>
        <v/>
      </c>
      <c r="D116" s="272" t="str">
        <f t="shared" si="17"/>
        <v/>
      </c>
      <c r="E116" s="273" t="e">
        <f t="shared" si="10"/>
        <v>#VALUE!</v>
      </c>
      <c r="F116" s="272" t="e">
        <f t="shared" si="11"/>
        <v>#VALUE!</v>
      </c>
      <c r="G116" s="272" t="str">
        <f t="shared" si="15"/>
        <v/>
      </c>
      <c r="H116" s="272" t="str">
        <f t="shared" si="16"/>
        <v/>
      </c>
      <c r="I116" s="272" t="e">
        <f t="shared" si="12"/>
        <v>#VALUE!</v>
      </c>
      <c r="J116" s="272">
        <f>SUM($H$18:$H116)</f>
        <v>0</v>
      </c>
    </row>
    <row r="117" spans="1:10" x14ac:dyDescent="0.2">
      <c r="A117" s="286" t="str">
        <f t="shared" si="13"/>
        <v/>
      </c>
      <c r="B117" s="270" t="str">
        <f t="shared" si="9"/>
        <v/>
      </c>
      <c r="C117" s="272" t="str">
        <f t="shared" si="14"/>
        <v/>
      </c>
      <c r="D117" s="272" t="str">
        <f t="shared" si="17"/>
        <v/>
      </c>
      <c r="E117" s="273" t="e">
        <f t="shared" si="10"/>
        <v>#VALUE!</v>
      </c>
      <c r="F117" s="272" t="e">
        <f t="shared" si="11"/>
        <v>#VALUE!</v>
      </c>
      <c r="G117" s="272" t="str">
        <f t="shared" si="15"/>
        <v/>
      </c>
      <c r="H117" s="272" t="str">
        <f t="shared" si="16"/>
        <v/>
      </c>
      <c r="I117" s="272" t="e">
        <f t="shared" si="12"/>
        <v>#VALUE!</v>
      </c>
      <c r="J117" s="272">
        <f>SUM($H$18:$H117)</f>
        <v>0</v>
      </c>
    </row>
    <row r="118" spans="1:10" x14ac:dyDescent="0.2">
      <c r="A118" s="286" t="str">
        <f t="shared" si="13"/>
        <v/>
      </c>
      <c r="B118" s="270" t="str">
        <f t="shared" si="9"/>
        <v/>
      </c>
      <c r="C118" s="272" t="str">
        <f t="shared" si="14"/>
        <v/>
      </c>
      <c r="D118" s="272" t="str">
        <f t="shared" si="17"/>
        <v/>
      </c>
      <c r="E118" s="273" t="e">
        <f t="shared" si="10"/>
        <v>#VALUE!</v>
      </c>
      <c r="F118" s="272" t="e">
        <f t="shared" si="11"/>
        <v>#VALUE!</v>
      </c>
      <c r="G118" s="272" t="str">
        <f t="shared" si="15"/>
        <v/>
      </c>
      <c r="H118" s="272" t="str">
        <f t="shared" si="16"/>
        <v/>
      </c>
      <c r="I118" s="272" t="e">
        <f t="shared" si="12"/>
        <v>#VALUE!</v>
      </c>
      <c r="J118" s="272">
        <f>SUM($H$18:$H118)</f>
        <v>0</v>
      </c>
    </row>
    <row r="119" spans="1:10" x14ac:dyDescent="0.2">
      <c r="A119" s="286" t="str">
        <f t="shared" si="13"/>
        <v/>
      </c>
      <c r="B119" s="270" t="str">
        <f t="shared" si="9"/>
        <v/>
      </c>
      <c r="C119" s="272" t="str">
        <f t="shared" si="14"/>
        <v/>
      </c>
      <c r="D119" s="272" t="str">
        <f t="shared" si="17"/>
        <v/>
      </c>
      <c r="E119" s="273" t="e">
        <f t="shared" si="10"/>
        <v>#VALUE!</v>
      </c>
      <c r="F119" s="272" t="e">
        <f t="shared" si="11"/>
        <v>#VALUE!</v>
      </c>
      <c r="G119" s="272" t="str">
        <f t="shared" si="15"/>
        <v/>
      </c>
      <c r="H119" s="272" t="str">
        <f t="shared" si="16"/>
        <v/>
      </c>
      <c r="I119" s="272" t="e">
        <f t="shared" si="12"/>
        <v>#VALUE!</v>
      </c>
      <c r="J119" s="272">
        <f>SUM($H$18:$H119)</f>
        <v>0</v>
      </c>
    </row>
    <row r="120" spans="1:10" x14ac:dyDescent="0.2">
      <c r="A120" s="286" t="str">
        <f t="shared" si="13"/>
        <v/>
      </c>
      <c r="B120" s="270" t="str">
        <f t="shared" si="9"/>
        <v/>
      </c>
      <c r="C120" s="272" t="str">
        <f t="shared" si="14"/>
        <v/>
      </c>
      <c r="D120" s="272" t="str">
        <f t="shared" si="17"/>
        <v/>
      </c>
      <c r="E120" s="273" t="e">
        <f t="shared" si="10"/>
        <v>#VALUE!</v>
      </c>
      <c r="F120" s="272" t="e">
        <f t="shared" si="11"/>
        <v>#VALUE!</v>
      </c>
      <c r="G120" s="272" t="str">
        <f t="shared" si="15"/>
        <v/>
      </c>
      <c r="H120" s="272" t="str">
        <f t="shared" si="16"/>
        <v/>
      </c>
      <c r="I120" s="272" t="e">
        <f t="shared" si="12"/>
        <v>#VALUE!</v>
      </c>
      <c r="J120" s="272">
        <f>SUM($H$18:$H120)</f>
        <v>0</v>
      </c>
    </row>
    <row r="121" spans="1:10" x14ac:dyDescent="0.2">
      <c r="A121" s="286" t="str">
        <f t="shared" si="13"/>
        <v/>
      </c>
      <c r="B121" s="270" t="str">
        <f t="shared" si="9"/>
        <v/>
      </c>
      <c r="C121" s="272" t="str">
        <f t="shared" si="14"/>
        <v/>
      </c>
      <c r="D121" s="272" t="str">
        <f t="shared" si="17"/>
        <v/>
      </c>
      <c r="E121" s="273" t="e">
        <f t="shared" si="10"/>
        <v>#VALUE!</v>
      </c>
      <c r="F121" s="272" t="e">
        <f t="shared" si="11"/>
        <v>#VALUE!</v>
      </c>
      <c r="G121" s="272" t="str">
        <f t="shared" si="15"/>
        <v/>
      </c>
      <c r="H121" s="272" t="str">
        <f t="shared" si="16"/>
        <v/>
      </c>
      <c r="I121" s="272" t="e">
        <f t="shared" si="12"/>
        <v>#VALUE!</v>
      </c>
      <c r="J121" s="272">
        <f>SUM($H$18:$H121)</f>
        <v>0</v>
      </c>
    </row>
    <row r="122" spans="1:10" x14ac:dyDescent="0.2">
      <c r="A122" s="286" t="str">
        <f t="shared" si="13"/>
        <v/>
      </c>
      <c r="B122" s="270" t="str">
        <f t="shared" si="9"/>
        <v/>
      </c>
      <c r="C122" s="272" t="str">
        <f t="shared" si="14"/>
        <v/>
      </c>
      <c r="D122" s="272" t="str">
        <f t="shared" si="17"/>
        <v/>
      </c>
      <c r="E122" s="273" t="e">
        <f t="shared" si="10"/>
        <v>#VALUE!</v>
      </c>
      <c r="F122" s="272" t="e">
        <f t="shared" si="11"/>
        <v>#VALUE!</v>
      </c>
      <c r="G122" s="272" t="str">
        <f t="shared" si="15"/>
        <v/>
      </c>
      <c r="H122" s="272" t="str">
        <f t="shared" si="16"/>
        <v/>
      </c>
      <c r="I122" s="272" t="e">
        <f t="shared" si="12"/>
        <v>#VALUE!</v>
      </c>
      <c r="J122" s="272">
        <f>SUM($H$18:$H122)</f>
        <v>0</v>
      </c>
    </row>
    <row r="123" spans="1:10" x14ac:dyDescent="0.2">
      <c r="A123" s="286" t="str">
        <f t="shared" si="13"/>
        <v/>
      </c>
      <c r="B123" s="270" t="str">
        <f t="shared" si="9"/>
        <v/>
      </c>
      <c r="C123" s="272" t="str">
        <f t="shared" si="14"/>
        <v/>
      </c>
      <c r="D123" s="272" t="str">
        <f t="shared" si="17"/>
        <v/>
      </c>
      <c r="E123" s="273" t="e">
        <f t="shared" si="10"/>
        <v>#VALUE!</v>
      </c>
      <c r="F123" s="272" t="e">
        <f t="shared" si="11"/>
        <v>#VALUE!</v>
      </c>
      <c r="G123" s="272" t="str">
        <f t="shared" si="15"/>
        <v/>
      </c>
      <c r="H123" s="272" t="str">
        <f t="shared" si="16"/>
        <v/>
      </c>
      <c r="I123" s="272" t="e">
        <f t="shared" si="12"/>
        <v>#VALUE!</v>
      </c>
      <c r="J123" s="272">
        <f>SUM($H$18:$H123)</f>
        <v>0</v>
      </c>
    </row>
    <row r="124" spans="1:10" x14ac:dyDescent="0.2">
      <c r="A124" s="286" t="str">
        <f t="shared" si="13"/>
        <v/>
      </c>
      <c r="B124" s="270" t="str">
        <f t="shared" si="9"/>
        <v/>
      </c>
      <c r="C124" s="272" t="str">
        <f t="shared" si="14"/>
        <v/>
      </c>
      <c r="D124" s="272" t="str">
        <f t="shared" si="17"/>
        <v/>
      </c>
      <c r="E124" s="273" t="e">
        <f t="shared" si="10"/>
        <v>#VALUE!</v>
      </c>
      <c r="F124" s="272" t="e">
        <f t="shared" si="11"/>
        <v>#VALUE!</v>
      </c>
      <c r="G124" s="272" t="str">
        <f t="shared" si="15"/>
        <v/>
      </c>
      <c r="H124" s="272" t="str">
        <f t="shared" si="16"/>
        <v/>
      </c>
      <c r="I124" s="272" t="e">
        <f t="shared" si="12"/>
        <v>#VALUE!</v>
      </c>
      <c r="J124" s="272">
        <f>SUM($H$18:$H124)</f>
        <v>0</v>
      </c>
    </row>
    <row r="125" spans="1:10" x14ac:dyDescent="0.2">
      <c r="A125" s="286" t="str">
        <f t="shared" si="13"/>
        <v/>
      </c>
      <c r="B125" s="270" t="str">
        <f t="shared" si="9"/>
        <v/>
      </c>
      <c r="C125" s="272" t="str">
        <f t="shared" si="14"/>
        <v/>
      </c>
      <c r="D125" s="272" t="str">
        <f t="shared" si="17"/>
        <v/>
      </c>
      <c r="E125" s="273" t="e">
        <f t="shared" si="10"/>
        <v>#VALUE!</v>
      </c>
      <c r="F125" s="272" t="e">
        <f t="shared" si="11"/>
        <v>#VALUE!</v>
      </c>
      <c r="G125" s="272" t="str">
        <f t="shared" si="15"/>
        <v/>
      </c>
      <c r="H125" s="272" t="str">
        <f t="shared" si="16"/>
        <v/>
      </c>
      <c r="I125" s="272" t="e">
        <f t="shared" si="12"/>
        <v>#VALUE!</v>
      </c>
      <c r="J125" s="272">
        <f>SUM($H$18:$H125)</f>
        <v>0</v>
      </c>
    </row>
    <row r="126" spans="1:10" x14ac:dyDescent="0.2">
      <c r="A126" s="286" t="str">
        <f t="shared" si="13"/>
        <v/>
      </c>
      <c r="B126" s="270" t="str">
        <f t="shared" si="9"/>
        <v/>
      </c>
      <c r="C126" s="272" t="str">
        <f t="shared" si="14"/>
        <v/>
      </c>
      <c r="D126" s="272" t="str">
        <f t="shared" si="17"/>
        <v/>
      </c>
      <c r="E126" s="273" t="e">
        <f t="shared" si="10"/>
        <v>#VALUE!</v>
      </c>
      <c r="F126" s="272" t="e">
        <f t="shared" si="11"/>
        <v>#VALUE!</v>
      </c>
      <c r="G126" s="272" t="str">
        <f t="shared" si="15"/>
        <v/>
      </c>
      <c r="H126" s="272" t="str">
        <f t="shared" si="16"/>
        <v/>
      </c>
      <c r="I126" s="272" t="e">
        <f t="shared" si="12"/>
        <v>#VALUE!</v>
      </c>
      <c r="J126" s="272">
        <f>SUM($H$18:$H126)</f>
        <v>0</v>
      </c>
    </row>
    <row r="127" spans="1:10" x14ac:dyDescent="0.2">
      <c r="A127" s="286" t="str">
        <f t="shared" si="13"/>
        <v/>
      </c>
      <c r="B127" s="270" t="str">
        <f t="shared" si="9"/>
        <v/>
      </c>
      <c r="C127" s="272" t="str">
        <f t="shared" si="14"/>
        <v/>
      </c>
      <c r="D127" s="272" t="str">
        <f t="shared" si="17"/>
        <v/>
      </c>
      <c r="E127" s="273" t="e">
        <f t="shared" si="10"/>
        <v>#VALUE!</v>
      </c>
      <c r="F127" s="272" t="e">
        <f t="shared" si="11"/>
        <v>#VALUE!</v>
      </c>
      <c r="G127" s="272" t="str">
        <f t="shared" si="15"/>
        <v/>
      </c>
      <c r="H127" s="272" t="str">
        <f t="shared" si="16"/>
        <v/>
      </c>
      <c r="I127" s="272" t="e">
        <f t="shared" si="12"/>
        <v>#VALUE!</v>
      </c>
      <c r="J127" s="272">
        <f>SUM($H$18:$H127)</f>
        <v>0</v>
      </c>
    </row>
    <row r="128" spans="1:10" x14ac:dyDescent="0.2">
      <c r="A128" s="286" t="str">
        <f t="shared" si="13"/>
        <v/>
      </c>
      <c r="B128" s="270" t="str">
        <f t="shared" si="9"/>
        <v/>
      </c>
      <c r="C128" s="272" t="str">
        <f t="shared" si="14"/>
        <v/>
      </c>
      <c r="D128" s="272" t="str">
        <f t="shared" si="17"/>
        <v/>
      </c>
      <c r="E128" s="273" t="e">
        <f t="shared" si="10"/>
        <v>#VALUE!</v>
      </c>
      <c r="F128" s="272" t="e">
        <f t="shared" si="11"/>
        <v>#VALUE!</v>
      </c>
      <c r="G128" s="272" t="str">
        <f t="shared" si="15"/>
        <v/>
      </c>
      <c r="H128" s="272" t="str">
        <f t="shared" si="16"/>
        <v/>
      </c>
      <c r="I128" s="272" t="e">
        <f t="shared" si="12"/>
        <v>#VALUE!</v>
      </c>
      <c r="J128" s="272">
        <f>SUM($H$18:$H128)</f>
        <v>0</v>
      </c>
    </row>
    <row r="129" spans="1:10" x14ac:dyDescent="0.2">
      <c r="A129" s="286" t="str">
        <f t="shared" si="13"/>
        <v/>
      </c>
      <c r="B129" s="270" t="str">
        <f t="shared" si="9"/>
        <v/>
      </c>
      <c r="C129" s="272" t="str">
        <f t="shared" si="14"/>
        <v/>
      </c>
      <c r="D129" s="272" t="str">
        <f t="shared" si="17"/>
        <v/>
      </c>
      <c r="E129" s="273" t="e">
        <f t="shared" si="10"/>
        <v>#VALUE!</v>
      </c>
      <c r="F129" s="272" t="e">
        <f t="shared" si="11"/>
        <v>#VALUE!</v>
      </c>
      <c r="G129" s="272" t="str">
        <f t="shared" si="15"/>
        <v/>
      </c>
      <c r="H129" s="272" t="str">
        <f t="shared" si="16"/>
        <v/>
      </c>
      <c r="I129" s="272" t="e">
        <f t="shared" si="12"/>
        <v>#VALUE!</v>
      </c>
      <c r="J129" s="272">
        <f>SUM($H$18:$H129)</f>
        <v>0</v>
      </c>
    </row>
    <row r="130" spans="1:10" x14ac:dyDescent="0.2">
      <c r="A130" s="286" t="str">
        <f t="shared" si="13"/>
        <v/>
      </c>
      <c r="B130" s="270" t="str">
        <f t="shared" si="9"/>
        <v/>
      </c>
      <c r="C130" s="272" t="str">
        <f t="shared" si="14"/>
        <v/>
      </c>
      <c r="D130" s="272" t="str">
        <f t="shared" si="17"/>
        <v/>
      </c>
      <c r="E130" s="273" t="e">
        <f t="shared" si="10"/>
        <v>#VALUE!</v>
      </c>
      <c r="F130" s="272" t="e">
        <f t="shared" si="11"/>
        <v>#VALUE!</v>
      </c>
      <c r="G130" s="272" t="str">
        <f t="shared" si="15"/>
        <v/>
      </c>
      <c r="H130" s="272" t="str">
        <f t="shared" si="16"/>
        <v/>
      </c>
      <c r="I130" s="272" t="e">
        <f t="shared" si="12"/>
        <v>#VALUE!</v>
      </c>
      <c r="J130" s="272">
        <f>SUM($H$18:$H130)</f>
        <v>0</v>
      </c>
    </row>
    <row r="131" spans="1:10" x14ac:dyDescent="0.2">
      <c r="A131" s="286" t="str">
        <f t="shared" si="13"/>
        <v/>
      </c>
      <c r="B131" s="270" t="str">
        <f t="shared" si="9"/>
        <v/>
      </c>
      <c r="C131" s="272" t="str">
        <f t="shared" si="14"/>
        <v/>
      </c>
      <c r="D131" s="272" t="str">
        <f t="shared" si="17"/>
        <v/>
      </c>
      <c r="E131" s="273" t="e">
        <f t="shared" si="10"/>
        <v>#VALUE!</v>
      </c>
      <c r="F131" s="272" t="e">
        <f t="shared" si="11"/>
        <v>#VALUE!</v>
      </c>
      <c r="G131" s="272" t="str">
        <f t="shared" si="15"/>
        <v/>
      </c>
      <c r="H131" s="272" t="str">
        <f t="shared" si="16"/>
        <v/>
      </c>
      <c r="I131" s="272" t="e">
        <f t="shared" si="12"/>
        <v>#VALUE!</v>
      </c>
      <c r="J131" s="272">
        <f>SUM($H$18:$H131)</f>
        <v>0</v>
      </c>
    </row>
    <row r="132" spans="1:10" x14ac:dyDescent="0.2">
      <c r="A132" s="286" t="str">
        <f t="shared" si="13"/>
        <v/>
      </c>
      <c r="B132" s="270" t="str">
        <f t="shared" si="9"/>
        <v/>
      </c>
      <c r="C132" s="272" t="str">
        <f t="shared" si="14"/>
        <v/>
      </c>
      <c r="D132" s="272" t="str">
        <f t="shared" si="17"/>
        <v/>
      </c>
      <c r="E132" s="273" t="e">
        <f t="shared" si="10"/>
        <v>#VALUE!</v>
      </c>
      <c r="F132" s="272" t="e">
        <f t="shared" si="11"/>
        <v>#VALUE!</v>
      </c>
      <c r="G132" s="272" t="str">
        <f t="shared" si="15"/>
        <v/>
      </c>
      <c r="H132" s="272" t="str">
        <f t="shared" si="16"/>
        <v/>
      </c>
      <c r="I132" s="272" t="e">
        <f t="shared" si="12"/>
        <v>#VALUE!</v>
      </c>
      <c r="J132" s="272">
        <f>SUM($H$18:$H132)</f>
        <v>0</v>
      </c>
    </row>
    <row r="133" spans="1:10" x14ac:dyDescent="0.2">
      <c r="A133" s="286" t="str">
        <f t="shared" si="13"/>
        <v/>
      </c>
      <c r="B133" s="270" t="str">
        <f t="shared" si="9"/>
        <v/>
      </c>
      <c r="C133" s="272" t="str">
        <f t="shared" si="14"/>
        <v/>
      </c>
      <c r="D133" s="272" t="str">
        <f t="shared" si="17"/>
        <v/>
      </c>
      <c r="E133" s="273" t="e">
        <f t="shared" si="10"/>
        <v>#VALUE!</v>
      </c>
      <c r="F133" s="272" t="e">
        <f t="shared" si="11"/>
        <v>#VALUE!</v>
      </c>
      <c r="G133" s="272" t="str">
        <f t="shared" si="15"/>
        <v/>
      </c>
      <c r="H133" s="272" t="str">
        <f t="shared" si="16"/>
        <v/>
      </c>
      <c r="I133" s="272" t="e">
        <f t="shared" si="12"/>
        <v>#VALUE!</v>
      </c>
      <c r="J133" s="272">
        <f>SUM($H$18:$H133)</f>
        <v>0</v>
      </c>
    </row>
    <row r="134" spans="1:10" x14ac:dyDescent="0.2">
      <c r="A134" s="286" t="str">
        <f t="shared" si="13"/>
        <v/>
      </c>
      <c r="B134" s="270" t="str">
        <f t="shared" si="9"/>
        <v/>
      </c>
      <c r="C134" s="272" t="str">
        <f t="shared" si="14"/>
        <v/>
      </c>
      <c r="D134" s="272" t="str">
        <f t="shared" si="17"/>
        <v/>
      </c>
      <c r="E134" s="273" t="e">
        <f t="shared" si="10"/>
        <v>#VALUE!</v>
      </c>
      <c r="F134" s="272" t="e">
        <f t="shared" si="11"/>
        <v>#VALUE!</v>
      </c>
      <c r="G134" s="272" t="str">
        <f t="shared" si="15"/>
        <v/>
      </c>
      <c r="H134" s="272" t="str">
        <f t="shared" si="16"/>
        <v/>
      </c>
      <c r="I134" s="272" t="e">
        <f t="shared" si="12"/>
        <v>#VALUE!</v>
      </c>
      <c r="J134" s="272">
        <f>SUM($H$18:$H134)</f>
        <v>0</v>
      </c>
    </row>
    <row r="135" spans="1:10" x14ac:dyDescent="0.2">
      <c r="A135" s="286" t="str">
        <f t="shared" si="13"/>
        <v/>
      </c>
      <c r="B135" s="270" t="str">
        <f t="shared" si="9"/>
        <v/>
      </c>
      <c r="C135" s="272" t="str">
        <f t="shared" si="14"/>
        <v/>
      </c>
      <c r="D135" s="272" t="str">
        <f t="shared" si="17"/>
        <v/>
      </c>
      <c r="E135" s="273" t="e">
        <f t="shared" si="10"/>
        <v>#VALUE!</v>
      </c>
      <c r="F135" s="272" t="e">
        <f t="shared" si="11"/>
        <v>#VALUE!</v>
      </c>
      <c r="G135" s="272" t="str">
        <f t="shared" si="15"/>
        <v/>
      </c>
      <c r="H135" s="272" t="str">
        <f t="shared" si="16"/>
        <v/>
      </c>
      <c r="I135" s="272" t="e">
        <f t="shared" si="12"/>
        <v>#VALUE!</v>
      </c>
      <c r="J135" s="272">
        <f>SUM($H$18:$H135)</f>
        <v>0</v>
      </c>
    </row>
    <row r="136" spans="1:10" x14ac:dyDescent="0.2">
      <c r="A136" s="286" t="str">
        <f t="shared" si="13"/>
        <v/>
      </c>
      <c r="B136" s="270" t="str">
        <f t="shared" si="9"/>
        <v/>
      </c>
      <c r="C136" s="272" t="str">
        <f t="shared" si="14"/>
        <v/>
      </c>
      <c r="D136" s="272" t="str">
        <f t="shared" si="17"/>
        <v/>
      </c>
      <c r="E136" s="273" t="e">
        <f t="shared" si="10"/>
        <v>#VALUE!</v>
      </c>
      <c r="F136" s="272" t="e">
        <f t="shared" si="11"/>
        <v>#VALUE!</v>
      </c>
      <c r="G136" s="272" t="str">
        <f t="shared" si="15"/>
        <v/>
      </c>
      <c r="H136" s="272" t="str">
        <f t="shared" si="16"/>
        <v/>
      </c>
      <c r="I136" s="272" t="e">
        <f t="shared" si="12"/>
        <v>#VALUE!</v>
      </c>
      <c r="J136" s="272">
        <f>SUM($H$18:$H136)</f>
        <v>0</v>
      </c>
    </row>
    <row r="137" spans="1:10" x14ac:dyDescent="0.2">
      <c r="A137" s="286" t="str">
        <f t="shared" si="13"/>
        <v/>
      </c>
      <c r="B137" s="270" t="str">
        <f t="shared" si="9"/>
        <v/>
      </c>
      <c r="C137" s="272" t="str">
        <f t="shared" si="14"/>
        <v/>
      </c>
      <c r="D137" s="272" t="str">
        <f t="shared" si="17"/>
        <v/>
      </c>
      <c r="E137" s="273" t="e">
        <f t="shared" si="10"/>
        <v>#VALUE!</v>
      </c>
      <c r="F137" s="272" t="e">
        <f t="shared" si="11"/>
        <v>#VALUE!</v>
      </c>
      <c r="G137" s="272" t="str">
        <f t="shared" si="15"/>
        <v/>
      </c>
      <c r="H137" s="272" t="str">
        <f t="shared" si="16"/>
        <v/>
      </c>
      <c r="I137" s="272" t="e">
        <f t="shared" si="12"/>
        <v>#VALUE!</v>
      </c>
      <c r="J137" s="272">
        <f>SUM($H$18:$H137)</f>
        <v>0</v>
      </c>
    </row>
    <row r="138" spans="1:10" x14ac:dyDescent="0.2">
      <c r="A138" s="286" t="str">
        <f t="shared" si="13"/>
        <v/>
      </c>
      <c r="B138" s="270" t="str">
        <f t="shared" si="9"/>
        <v/>
      </c>
      <c r="C138" s="272" t="str">
        <f t="shared" si="14"/>
        <v/>
      </c>
      <c r="D138" s="272" t="str">
        <f t="shared" si="17"/>
        <v/>
      </c>
      <c r="E138" s="273" t="e">
        <f t="shared" si="10"/>
        <v>#VALUE!</v>
      </c>
      <c r="F138" s="272" t="e">
        <f t="shared" si="11"/>
        <v>#VALUE!</v>
      </c>
      <c r="G138" s="272" t="str">
        <f t="shared" si="15"/>
        <v/>
      </c>
      <c r="H138" s="272" t="str">
        <f t="shared" si="16"/>
        <v/>
      </c>
      <c r="I138" s="272" t="e">
        <f t="shared" si="12"/>
        <v>#VALUE!</v>
      </c>
      <c r="J138" s="272">
        <f>SUM($H$18:$H138)</f>
        <v>0</v>
      </c>
    </row>
    <row r="139" spans="1:10" x14ac:dyDescent="0.2">
      <c r="A139" s="286" t="str">
        <f t="shared" si="13"/>
        <v/>
      </c>
      <c r="B139" s="270" t="str">
        <f t="shared" si="9"/>
        <v/>
      </c>
      <c r="C139" s="272" t="str">
        <f t="shared" si="14"/>
        <v/>
      </c>
      <c r="D139" s="272" t="str">
        <f t="shared" si="17"/>
        <v/>
      </c>
      <c r="E139" s="273" t="e">
        <f t="shared" si="10"/>
        <v>#VALUE!</v>
      </c>
      <c r="F139" s="272" t="e">
        <f t="shared" si="11"/>
        <v>#VALUE!</v>
      </c>
      <c r="G139" s="272" t="str">
        <f t="shared" si="15"/>
        <v/>
      </c>
      <c r="H139" s="272" t="str">
        <f t="shared" si="16"/>
        <v/>
      </c>
      <c r="I139" s="272" t="e">
        <f t="shared" si="12"/>
        <v>#VALUE!</v>
      </c>
      <c r="J139" s="272">
        <f>SUM($H$18:$H139)</f>
        <v>0</v>
      </c>
    </row>
    <row r="140" spans="1:10" x14ac:dyDescent="0.2">
      <c r="A140" s="286" t="str">
        <f t="shared" si="13"/>
        <v/>
      </c>
      <c r="B140" s="270" t="str">
        <f t="shared" si="9"/>
        <v/>
      </c>
      <c r="C140" s="272" t="str">
        <f t="shared" si="14"/>
        <v/>
      </c>
      <c r="D140" s="272" t="str">
        <f t="shared" si="17"/>
        <v/>
      </c>
      <c r="E140" s="273" t="e">
        <f t="shared" si="10"/>
        <v>#VALUE!</v>
      </c>
      <c r="F140" s="272" t="e">
        <f t="shared" si="11"/>
        <v>#VALUE!</v>
      </c>
      <c r="G140" s="272" t="str">
        <f t="shared" si="15"/>
        <v/>
      </c>
      <c r="H140" s="272" t="str">
        <f t="shared" si="16"/>
        <v/>
      </c>
      <c r="I140" s="272" t="e">
        <f t="shared" si="12"/>
        <v>#VALUE!</v>
      </c>
      <c r="J140" s="272">
        <f>SUM($H$18:$H140)</f>
        <v>0</v>
      </c>
    </row>
    <row r="141" spans="1:10" x14ac:dyDescent="0.2">
      <c r="A141" s="286" t="str">
        <f t="shared" si="13"/>
        <v/>
      </c>
      <c r="B141" s="270" t="str">
        <f t="shared" si="9"/>
        <v/>
      </c>
      <c r="C141" s="272" t="str">
        <f t="shared" si="14"/>
        <v/>
      </c>
      <c r="D141" s="272" t="str">
        <f t="shared" si="17"/>
        <v/>
      </c>
      <c r="E141" s="273" t="e">
        <f t="shared" si="10"/>
        <v>#VALUE!</v>
      </c>
      <c r="F141" s="272" t="e">
        <f t="shared" si="11"/>
        <v>#VALUE!</v>
      </c>
      <c r="G141" s="272" t="str">
        <f t="shared" si="15"/>
        <v/>
      </c>
      <c r="H141" s="272" t="str">
        <f t="shared" si="16"/>
        <v/>
      </c>
      <c r="I141" s="272" t="e">
        <f t="shared" si="12"/>
        <v>#VALUE!</v>
      </c>
      <c r="J141" s="272">
        <f>SUM($H$18:$H141)</f>
        <v>0</v>
      </c>
    </row>
    <row r="142" spans="1:10" x14ac:dyDescent="0.2">
      <c r="A142" s="286" t="str">
        <f t="shared" si="13"/>
        <v/>
      </c>
      <c r="B142" s="270" t="str">
        <f t="shared" si="9"/>
        <v/>
      </c>
      <c r="C142" s="272" t="str">
        <f t="shared" si="14"/>
        <v/>
      </c>
      <c r="D142" s="272" t="str">
        <f t="shared" si="17"/>
        <v/>
      </c>
      <c r="E142" s="273" t="e">
        <f t="shared" si="10"/>
        <v>#VALUE!</v>
      </c>
      <c r="F142" s="272" t="e">
        <f t="shared" si="11"/>
        <v>#VALUE!</v>
      </c>
      <c r="G142" s="272" t="str">
        <f t="shared" si="15"/>
        <v/>
      </c>
      <c r="H142" s="272" t="str">
        <f t="shared" si="16"/>
        <v/>
      </c>
      <c r="I142" s="272" t="e">
        <f t="shared" si="12"/>
        <v>#VALUE!</v>
      </c>
      <c r="J142" s="272">
        <f>SUM($H$18:$H142)</f>
        <v>0</v>
      </c>
    </row>
    <row r="143" spans="1:10" x14ac:dyDescent="0.2">
      <c r="A143" s="286" t="str">
        <f t="shared" si="13"/>
        <v/>
      </c>
      <c r="B143" s="270" t="str">
        <f t="shared" si="9"/>
        <v/>
      </c>
      <c r="C143" s="272" t="str">
        <f t="shared" si="14"/>
        <v/>
      </c>
      <c r="D143" s="272" t="str">
        <f t="shared" si="17"/>
        <v/>
      </c>
      <c r="E143" s="273" t="e">
        <f t="shared" si="10"/>
        <v>#VALUE!</v>
      </c>
      <c r="F143" s="272" t="e">
        <f t="shared" si="11"/>
        <v>#VALUE!</v>
      </c>
      <c r="G143" s="272" t="str">
        <f t="shared" si="15"/>
        <v/>
      </c>
      <c r="H143" s="272" t="str">
        <f t="shared" si="16"/>
        <v/>
      </c>
      <c r="I143" s="272" t="e">
        <f t="shared" si="12"/>
        <v>#VALUE!</v>
      </c>
      <c r="J143" s="272">
        <f>SUM($H$18:$H143)</f>
        <v>0</v>
      </c>
    </row>
    <row r="144" spans="1:10" x14ac:dyDescent="0.2">
      <c r="A144" s="286" t="str">
        <f t="shared" si="13"/>
        <v/>
      </c>
      <c r="B144" s="270" t="str">
        <f t="shared" si="9"/>
        <v/>
      </c>
      <c r="C144" s="272" t="str">
        <f t="shared" si="14"/>
        <v/>
      </c>
      <c r="D144" s="272" t="str">
        <f t="shared" si="17"/>
        <v/>
      </c>
      <c r="E144" s="273" t="e">
        <f t="shared" si="10"/>
        <v>#VALUE!</v>
      </c>
      <c r="F144" s="272" t="e">
        <f t="shared" si="11"/>
        <v>#VALUE!</v>
      </c>
      <c r="G144" s="272" t="str">
        <f t="shared" si="15"/>
        <v/>
      </c>
      <c r="H144" s="272" t="str">
        <f t="shared" si="16"/>
        <v/>
      </c>
      <c r="I144" s="272" t="e">
        <f t="shared" si="12"/>
        <v>#VALUE!</v>
      </c>
      <c r="J144" s="272">
        <f>SUM($H$18:$H144)</f>
        <v>0</v>
      </c>
    </row>
    <row r="145" spans="1:10" x14ac:dyDescent="0.2">
      <c r="A145" s="286" t="str">
        <f t="shared" si="13"/>
        <v/>
      </c>
      <c r="B145" s="270" t="str">
        <f t="shared" si="9"/>
        <v/>
      </c>
      <c r="C145" s="272" t="str">
        <f t="shared" si="14"/>
        <v/>
      </c>
      <c r="D145" s="272" t="str">
        <f t="shared" si="17"/>
        <v/>
      </c>
      <c r="E145" s="273" t="e">
        <f t="shared" si="10"/>
        <v>#VALUE!</v>
      </c>
      <c r="F145" s="272" t="e">
        <f t="shared" si="11"/>
        <v>#VALUE!</v>
      </c>
      <c r="G145" s="272" t="str">
        <f t="shared" si="15"/>
        <v/>
      </c>
      <c r="H145" s="272" t="str">
        <f t="shared" si="16"/>
        <v/>
      </c>
      <c r="I145" s="272" t="e">
        <f t="shared" si="12"/>
        <v>#VALUE!</v>
      </c>
      <c r="J145" s="272">
        <f>SUM($H$18:$H145)</f>
        <v>0</v>
      </c>
    </row>
    <row r="146" spans="1:10" x14ac:dyDescent="0.2">
      <c r="A146" s="286" t="str">
        <f t="shared" si="13"/>
        <v/>
      </c>
      <c r="B146" s="270" t="str">
        <f t="shared" ref="B146:B209" si="18">IF(Pay_Num&lt;&gt;"",DATE(YEAR(Loan_Start),MONTH(Loan_Start)+(Pay_Num)*12/Num_Pmt_Per_Year,DAY(Loan_Start)),"")</f>
        <v/>
      </c>
      <c r="C146" s="272" t="str">
        <f t="shared" si="14"/>
        <v/>
      </c>
      <c r="D146" s="272" t="str">
        <f t="shared" si="17"/>
        <v/>
      </c>
      <c r="E146" s="273" t="e">
        <f t="shared" ref="E146:E209" si="19">IF(AND(Pay_Num&lt;&gt;"",Sched_Pay+Scheduled_Extra_Payments&lt;Beg_Bal),Scheduled_Extra_Payments,IF(AND(Pay_Num&lt;&gt;"",Beg_Bal-Sched_Pay&gt;0),Beg_Bal-Sched_Pay,IF(Pay_Num&lt;&gt;"",0,"")))</f>
        <v>#VALUE!</v>
      </c>
      <c r="F146" s="272" t="e">
        <f t="shared" ref="F146:F209" si="20">IF(AND(Pay_Num&lt;&gt;"",Sched_Pay+Extra_Pay&lt;Beg_Bal),Sched_Pay+Extra_Pay,IF(Pay_Num&lt;&gt;"",Beg_Bal,""))</f>
        <v>#VALUE!</v>
      </c>
      <c r="G146" s="272" t="str">
        <f t="shared" si="15"/>
        <v/>
      </c>
      <c r="H146" s="272" t="str">
        <f t="shared" si="16"/>
        <v/>
      </c>
      <c r="I146" s="272" t="e">
        <f t="shared" ref="I146:I209" si="21">IF(AND(Pay_Num&lt;&gt;"",Sched_Pay+Extra_Pay&lt;Beg_Bal),Beg_Bal-Princ,IF(Pay_Num&lt;&gt;"",0,""))</f>
        <v>#VALUE!</v>
      </c>
      <c r="J146" s="272">
        <f>SUM($H$18:$H146)</f>
        <v>0</v>
      </c>
    </row>
    <row r="147" spans="1:10" x14ac:dyDescent="0.2">
      <c r="A147" s="286" t="str">
        <f t="shared" ref="A147:A210" si="22">IF(Values_Entered,A146+1,"")</f>
        <v/>
      </c>
      <c r="B147" s="270" t="str">
        <f t="shared" si="18"/>
        <v/>
      </c>
      <c r="C147" s="272" t="str">
        <f t="shared" ref="C147:C210" si="23">IF(Pay_Num&lt;&gt;"",I146,"")</f>
        <v/>
      </c>
      <c r="D147" s="272" t="str">
        <f t="shared" si="17"/>
        <v/>
      </c>
      <c r="E147" s="273" t="e">
        <f t="shared" si="19"/>
        <v>#VALUE!</v>
      </c>
      <c r="F147" s="272" t="e">
        <f t="shared" si="20"/>
        <v>#VALUE!</v>
      </c>
      <c r="G147" s="272" t="str">
        <f t="shared" ref="G147:G210" si="24">IF(Pay_Num&lt;&gt;"",Total_Pay-Int,"")</f>
        <v/>
      </c>
      <c r="H147" s="272" t="str">
        <f t="shared" ref="H147:H210" si="25">IF(Pay_Num&lt;&gt;"",Beg_Bal*Interest_Rate/Num_Pmt_Per_Year,"")</f>
        <v/>
      </c>
      <c r="I147" s="272" t="e">
        <f t="shared" si="21"/>
        <v>#VALUE!</v>
      </c>
      <c r="J147" s="272">
        <f>SUM($H$18:$H147)</f>
        <v>0</v>
      </c>
    </row>
    <row r="148" spans="1:10" x14ac:dyDescent="0.2">
      <c r="A148" s="286" t="str">
        <f t="shared" si="22"/>
        <v/>
      </c>
      <c r="B148" s="270" t="str">
        <f t="shared" si="18"/>
        <v/>
      </c>
      <c r="C148" s="272" t="str">
        <f t="shared" si="23"/>
        <v/>
      </c>
      <c r="D148" s="272" t="str">
        <f t="shared" ref="D148:D211" si="26">IF(Pay_Num&lt;&gt;"",Scheduled_Monthly_Payment,"")</f>
        <v/>
      </c>
      <c r="E148" s="273" t="e">
        <f t="shared" si="19"/>
        <v>#VALUE!</v>
      </c>
      <c r="F148" s="272" t="e">
        <f t="shared" si="20"/>
        <v>#VALUE!</v>
      </c>
      <c r="G148" s="272" t="str">
        <f t="shared" si="24"/>
        <v/>
      </c>
      <c r="H148" s="272" t="str">
        <f t="shared" si="25"/>
        <v/>
      </c>
      <c r="I148" s="272" t="e">
        <f t="shared" si="21"/>
        <v>#VALUE!</v>
      </c>
      <c r="J148" s="272">
        <f>SUM($H$18:$H148)</f>
        <v>0</v>
      </c>
    </row>
    <row r="149" spans="1:10" x14ac:dyDescent="0.2">
      <c r="A149" s="286" t="str">
        <f t="shared" si="22"/>
        <v/>
      </c>
      <c r="B149" s="270" t="str">
        <f t="shared" si="18"/>
        <v/>
      </c>
      <c r="C149" s="272" t="str">
        <f t="shared" si="23"/>
        <v/>
      </c>
      <c r="D149" s="272" t="str">
        <f t="shared" si="26"/>
        <v/>
      </c>
      <c r="E149" s="273" t="e">
        <f t="shared" si="19"/>
        <v>#VALUE!</v>
      </c>
      <c r="F149" s="272" t="e">
        <f t="shared" si="20"/>
        <v>#VALUE!</v>
      </c>
      <c r="G149" s="272" t="str">
        <f t="shared" si="24"/>
        <v/>
      </c>
      <c r="H149" s="272" t="str">
        <f t="shared" si="25"/>
        <v/>
      </c>
      <c r="I149" s="272" t="e">
        <f t="shared" si="21"/>
        <v>#VALUE!</v>
      </c>
      <c r="J149" s="272">
        <f>SUM($H$18:$H149)</f>
        <v>0</v>
      </c>
    </row>
    <row r="150" spans="1:10" x14ac:dyDescent="0.2">
      <c r="A150" s="286" t="str">
        <f t="shared" si="22"/>
        <v/>
      </c>
      <c r="B150" s="270" t="str">
        <f t="shared" si="18"/>
        <v/>
      </c>
      <c r="C150" s="272" t="str">
        <f t="shared" si="23"/>
        <v/>
      </c>
      <c r="D150" s="272" t="str">
        <f t="shared" si="26"/>
        <v/>
      </c>
      <c r="E150" s="273" t="e">
        <f t="shared" si="19"/>
        <v>#VALUE!</v>
      </c>
      <c r="F150" s="272" t="e">
        <f t="shared" si="20"/>
        <v>#VALUE!</v>
      </c>
      <c r="G150" s="272" t="str">
        <f t="shared" si="24"/>
        <v/>
      </c>
      <c r="H150" s="272" t="str">
        <f t="shared" si="25"/>
        <v/>
      </c>
      <c r="I150" s="272" t="e">
        <f t="shared" si="21"/>
        <v>#VALUE!</v>
      </c>
      <c r="J150" s="272">
        <f>SUM($H$18:$H150)</f>
        <v>0</v>
      </c>
    </row>
    <row r="151" spans="1:10" x14ac:dyDescent="0.2">
      <c r="A151" s="286" t="str">
        <f t="shared" si="22"/>
        <v/>
      </c>
      <c r="B151" s="270" t="str">
        <f t="shared" si="18"/>
        <v/>
      </c>
      <c r="C151" s="272" t="str">
        <f t="shared" si="23"/>
        <v/>
      </c>
      <c r="D151" s="272" t="str">
        <f t="shared" si="26"/>
        <v/>
      </c>
      <c r="E151" s="273" t="e">
        <f t="shared" si="19"/>
        <v>#VALUE!</v>
      </c>
      <c r="F151" s="272" t="e">
        <f t="shared" si="20"/>
        <v>#VALUE!</v>
      </c>
      <c r="G151" s="272" t="str">
        <f t="shared" si="24"/>
        <v/>
      </c>
      <c r="H151" s="272" t="str">
        <f t="shared" si="25"/>
        <v/>
      </c>
      <c r="I151" s="272" t="e">
        <f t="shared" si="21"/>
        <v>#VALUE!</v>
      </c>
      <c r="J151" s="272">
        <f>SUM($H$18:$H151)</f>
        <v>0</v>
      </c>
    </row>
    <row r="152" spans="1:10" x14ac:dyDescent="0.2">
      <c r="A152" s="286" t="str">
        <f t="shared" si="22"/>
        <v/>
      </c>
      <c r="B152" s="270" t="str">
        <f t="shared" si="18"/>
        <v/>
      </c>
      <c r="C152" s="272" t="str">
        <f t="shared" si="23"/>
        <v/>
      </c>
      <c r="D152" s="272" t="str">
        <f t="shared" si="26"/>
        <v/>
      </c>
      <c r="E152" s="273" t="e">
        <f t="shared" si="19"/>
        <v>#VALUE!</v>
      </c>
      <c r="F152" s="272" t="e">
        <f t="shared" si="20"/>
        <v>#VALUE!</v>
      </c>
      <c r="G152" s="272" t="str">
        <f t="shared" si="24"/>
        <v/>
      </c>
      <c r="H152" s="272" t="str">
        <f t="shared" si="25"/>
        <v/>
      </c>
      <c r="I152" s="272" t="e">
        <f t="shared" si="21"/>
        <v>#VALUE!</v>
      </c>
      <c r="J152" s="272">
        <f>SUM($H$18:$H152)</f>
        <v>0</v>
      </c>
    </row>
    <row r="153" spans="1:10" x14ac:dyDescent="0.2">
      <c r="A153" s="286" t="str">
        <f t="shared" si="22"/>
        <v/>
      </c>
      <c r="B153" s="270" t="str">
        <f t="shared" si="18"/>
        <v/>
      </c>
      <c r="C153" s="272" t="str">
        <f t="shared" si="23"/>
        <v/>
      </c>
      <c r="D153" s="272" t="str">
        <f t="shared" si="26"/>
        <v/>
      </c>
      <c r="E153" s="273" t="e">
        <f t="shared" si="19"/>
        <v>#VALUE!</v>
      </c>
      <c r="F153" s="272" t="e">
        <f t="shared" si="20"/>
        <v>#VALUE!</v>
      </c>
      <c r="G153" s="272" t="str">
        <f t="shared" si="24"/>
        <v/>
      </c>
      <c r="H153" s="272" t="str">
        <f t="shared" si="25"/>
        <v/>
      </c>
      <c r="I153" s="272" t="e">
        <f t="shared" si="21"/>
        <v>#VALUE!</v>
      </c>
      <c r="J153" s="272">
        <f>SUM($H$18:$H153)</f>
        <v>0</v>
      </c>
    </row>
    <row r="154" spans="1:10" x14ac:dyDescent="0.2">
      <c r="A154" s="286" t="str">
        <f t="shared" si="22"/>
        <v/>
      </c>
      <c r="B154" s="270" t="str">
        <f t="shared" si="18"/>
        <v/>
      </c>
      <c r="C154" s="272" t="str">
        <f t="shared" si="23"/>
        <v/>
      </c>
      <c r="D154" s="272" t="str">
        <f t="shared" si="26"/>
        <v/>
      </c>
      <c r="E154" s="273" t="e">
        <f t="shared" si="19"/>
        <v>#VALUE!</v>
      </c>
      <c r="F154" s="272" t="e">
        <f t="shared" si="20"/>
        <v>#VALUE!</v>
      </c>
      <c r="G154" s="272" t="str">
        <f t="shared" si="24"/>
        <v/>
      </c>
      <c r="H154" s="272" t="str">
        <f t="shared" si="25"/>
        <v/>
      </c>
      <c r="I154" s="272" t="e">
        <f t="shared" si="21"/>
        <v>#VALUE!</v>
      </c>
      <c r="J154" s="272">
        <f>SUM($H$18:$H154)</f>
        <v>0</v>
      </c>
    </row>
    <row r="155" spans="1:10" x14ac:dyDescent="0.2">
      <c r="A155" s="286" t="str">
        <f t="shared" si="22"/>
        <v/>
      </c>
      <c r="B155" s="270" t="str">
        <f t="shared" si="18"/>
        <v/>
      </c>
      <c r="C155" s="272" t="str">
        <f t="shared" si="23"/>
        <v/>
      </c>
      <c r="D155" s="272" t="str">
        <f t="shared" si="26"/>
        <v/>
      </c>
      <c r="E155" s="273" t="e">
        <f t="shared" si="19"/>
        <v>#VALUE!</v>
      </c>
      <c r="F155" s="272" t="e">
        <f t="shared" si="20"/>
        <v>#VALUE!</v>
      </c>
      <c r="G155" s="272" t="str">
        <f t="shared" si="24"/>
        <v/>
      </c>
      <c r="H155" s="272" t="str">
        <f t="shared" si="25"/>
        <v/>
      </c>
      <c r="I155" s="272" t="e">
        <f t="shared" si="21"/>
        <v>#VALUE!</v>
      </c>
      <c r="J155" s="272">
        <f>SUM($H$18:$H155)</f>
        <v>0</v>
      </c>
    </row>
    <row r="156" spans="1:10" x14ac:dyDescent="0.2">
      <c r="A156" s="286" t="str">
        <f t="shared" si="22"/>
        <v/>
      </c>
      <c r="B156" s="270" t="str">
        <f t="shared" si="18"/>
        <v/>
      </c>
      <c r="C156" s="272" t="str">
        <f t="shared" si="23"/>
        <v/>
      </c>
      <c r="D156" s="272" t="str">
        <f t="shared" si="26"/>
        <v/>
      </c>
      <c r="E156" s="273" t="e">
        <f t="shared" si="19"/>
        <v>#VALUE!</v>
      </c>
      <c r="F156" s="272" t="e">
        <f t="shared" si="20"/>
        <v>#VALUE!</v>
      </c>
      <c r="G156" s="272" t="str">
        <f t="shared" si="24"/>
        <v/>
      </c>
      <c r="H156" s="272" t="str">
        <f t="shared" si="25"/>
        <v/>
      </c>
      <c r="I156" s="272" t="e">
        <f t="shared" si="21"/>
        <v>#VALUE!</v>
      </c>
      <c r="J156" s="272">
        <f>SUM($H$18:$H156)</f>
        <v>0</v>
      </c>
    </row>
    <row r="157" spans="1:10" x14ac:dyDescent="0.2">
      <c r="A157" s="286" t="str">
        <f t="shared" si="22"/>
        <v/>
      </c>
      <c r="B157" s="270" t="str">
        <f t="shared" si="18"/>
        <v/>
      </c>
      <c r="C157" s="272" t="str">
        <f t="shared" si="23"/>
        <v/>
      </c>
      <c r="D157" s="272" t="str">
        <f t="shared" si="26"/>
        <v/>
      </c>
      <c r="E157" s="273" t="e">
        <f t="shared" si="19"/>
        <v>#VALUE!</v>
      </c>
      <c r="F157" s="272" t="e">
        <f t="shared" si="20"/>
        <v>#VALUE!</v>
      </c>
      <c r="G157" s="272" t="str">
        <f t="shared" si="24"/>
        <v/>
      </c>
      <c r="H157" s="272" t="str">
        <f t="shared" si="25"/>
        <v/>
      </c>
      <c r="I157" s="272" t="e">
        <f t="shared" si="21"/>
        <v>#VALUE!</v>
      </c>
      <c r="J157" s="272">
        <f>SUM($H$18:$H157)</f>
        <v>0</v>
      </c>
    </row>
    <row r="158" spans="1:10" x14ac:dyDescent="0.2">
      <c r="A158" s="286" t="str">
        <f t="shared" si="22"/>
        <v/>
      </c>
      <c r="B158" s="270" t="str">
        <f t="shared" si="18"/>
        <v/>
      </c>
      <c r="C158" s="272" t="str">
        <f t="shared" si="23"/>
        <v/>
      </c>
      <c r="D158" s="272" t="str">
        <f t="shared" si="26"/>
        <v/>
      </c>
      <c r="E158" s="273" t="e">
        <f t="shared" si="19"/>
        <v>#VALUE!</v>
      </c>
      <c r="F158" s="272" t="e">
        <f t="shared" si="20"/>
        <v>#VALUE!</v>
      </c>
      <c r="G158" s="272" t="str">
        <f t="shared" si="24"/>
        <v/>
      </c>
      <c r="H158" s="272" t="str">
        <f t="shared" si="25"/>
        <v/>
      </c>
      <c r="I158" s="272" t="e">
        <f t="shared" si="21"/>
        <v>#VALUE!</v>
      </c>
      <c r="J158" s="272">
        <f>SUM($H$18:$H158)</f>
        <v>0</v>
      </c>
    </row>
    <row r="159" spans="1:10" x14ac:dyDescent="0.2">
      <c r="A159" s="286" t="str">
        <f t="shared" si="22"/>
        <v/>
      </c>
      <c r="B159" s="270" t="str">
        <f t="shared" si="18"/>
        <v/>
      </c>
      <c r="C159" s="272" t="str">
        <f t="shared" si="23"/>
        <v/>
      </c>
      <c r="D159" s="272" t="str">
        <f t="shared" si="26"/>
        <v/>
      </c>
      <c r="E159" s="273" t="e">
        <f t="shared" si="19"/>
        <v>#VALUE!</v>
      </c>
      <c r="F159" s="272" t="e">
        <f t="shared" si="20"/>
        <v>#VALUE!</v>
      </c>
      <c r="G159" s="272" t="str">
        <f t="shared" si="24"/>
        <v/>
      </c>
      <c r="H159" s="272" t="str">
        <f t="shared" si="25"/>
        <v/>
      </c>
      <c r="I159" s="272" t="e">
        <f t="shared" si="21"/>
        <v>#VALUE!</v>
      </c>
      <c r="J159" s="272">
        <f>SUM($H$18:$H159)</f>
        <v>0</v>
      </c>
    </row>
    <row r="160" spans="1:10" x14ac:dyDescent="0.2">
      <c r="A160" s="286" t="str">
        <f t="shared" si="22"/>
        <v/>
      </c>
      <c r="B160" s="270" t="str">
        <f t="shared" si="18"/>
        <v/>
      </c>
      <c r="C160" s="272" t="str">
        <f t="shared" si="23"/>
        <v/>
      </c>
      <c r="D160" s="272" t="str">
        <f t="shared" si="26"/>
        <v/>
      </c>
      <c r="E160" s="273" t="e">
        <f t="shared" si="19"/>
        <v>#VALUE!</v>
      </c>
      <c r="F160" s="272" t="e">
        <f t="shared" si="20"/>
        <v>#VALUE!</v>
      </c>
      <c r="G160" s="272" t="str">
        <f t="shared" si="24"/>
        <v/>
      </c>
      <c r="H160" s="272" t="str">
        <f t="shared" si="25"/>
        <v/>
      </c>
      <c r="I160" s="272" t="e">
        <f t="shared" si="21"/>
        <v>#VALUE!</v>
      </c>
      <c r="J160" s="272">
        <f>SUM($H$18:$H160)</f>
        <v>0</v>
      </c>
    </row>
    <row r="161" spans="1:10" x14ac:dyDescent="0.2">
      <c r="A161" s="286" t="str">
        <f t="shared" si="22"/>
        <v/>
      </c>
      <c r="B161" s="270" t="str">
        <f t="shared" si="18"/>
        <v/>
      </c>
      <c r="C161" s="272" t="str">
        <f t="shared" si="23"/>
        <v/>
      </c>
      <c r="D161" s="272" t="str">
        <f t="shared" si="26"/>
        <v/>
      </c>
      <c r="E161" s="273" t="e">
        <f t="shared" si="19"/>
        <v>#VALUE!</v>
      </c>
      <c r="F161" s="272" t="e">
        <f t="shared" si="20"/>
        <v>#VALUE!</v>
      </c>
      <c r="G161" s="272" t="str">
        <f t="shared" si="24"/>
        <v/>
      </c>
      <c r="H161" s="272" t="str">
        <f t="shared" si="25"/>
        <v/>
      </c>
      <c r="I161" s="272" t="e">
        <f t="shared" si="21"/>
        <v>#VALUE!</v>
      </c>
      <c r="J161" s="272">
        <f>SUM($H$18:$H161)</f>
        <v>0</v>
      </c>
    </row>
    <row r="162" spans="1:10" x14ac:dyDescent="0.2">
      <c r="A162" s="286" t="str">
        <f t="shared" si="22"/>
        <v/>
      </c>
      <c r="B162" s="270" t="str">
        <f t="shared" si="18"/>
        <v/>
      </c>
      <c r="C162" s="272" t="str">
        <f t="shared" si="23"/>
        <v/>
      </c>
      <c r="D162" s="272" t="str">
        <f t="shared" si="26"/>
        <v/>
      </c>
      <c r="E162" s="273" t="e">
        <f t="shared" si="19"/>
        <v>#VALUE!</v>
      </c>
      <c r="F162" s="272" t="e">
        <f t="shared" si="20"/>
        <v>#VALUE!</v>
      </c>
      <c r="G162" s="272" t="str">
        <f t="shared" si="24"/>
        <v/>
      </c>
      <c r="H162" s="272" t="str">
        <f t="shared" si="25"/>
        <v/>
      </c>
      <c r="I162" s="272" t="e">
        <f t="shared" si="21"/>
        <v>#VALUE!</v>
      </c>
      <c r="J162" s="272">
        <f>SUM($H$18:$H162)</f>
        <v>0</v>
      </c>
    </row>
    <row r="163" spans="1:10" x14ac:dyDescent="0.2">
      <c r="A163" s="286" t="str">
        <f t="shared" si="22"/>
        <v/>
      </c>
      <c r="B163" s="270" t="str">
        <f t="shared" si="18"/>
        <v/>
      </c>
      <c r="C163" s="272" t="str">
        <f t="shared" si="23"/>
        <v/>
      </c>
      <c r="D163" s="272" t="str">
        <f t="shared" si="26"/>
        <v/>
      </c>
      <c r="E163" s="273" t="e">
        <f t="shared" si="19"/>
        <v>#VALUE!</v>
      </c>
      <c r="F163" s="272" t="e">
        <f t="shared" si="20"/>
        <v>#VALUE!</v>
      </c>
      <c r="G163" s="272" t="str">
        <f t="shared" si="24"/>
        <v/>
      </c>
      <c r="H163" s="272" t="str">
        <f t="shared" si="25"/>
        <v/>
      </c>
      <c r="I163" s="272" t="e">
        <f t="shared" si="21"/>
        <v>#VALUE!</v>
      </c>
      <c r="J163" s="272">
        <f>SUM($H$18:$H163)</f>
        <v>0</v>
      </c>
    </row>
    <row r="164" spans="1:10" x14ac:dyDescent="0.2">
      <c r="A164" s="286" t="str">
        <f t="shared" si="22"/>
        <v/>
      </c>
      <c r="B164" s="270" t="str">
        <f t="shared" si="18"/>
        <v/>
      </c>
      <c r="C164" s="272" t="str">
        <f t="shared" si="23"/>
        <v/>
      </c>
      <c r="D164" s="272" t="str">
        <f t="shared" si="26"/>
        <v/>
      </c>
      <c r="E164" s="273" t="e">
        <f t="shared" si="19"/>
        <v>#VALUE!</v>
      </c>
      <c r="F164" s="272" t="e">
        <f t="shared" si="20"/>
        <v>#VALUE!</v>
      </c>
      <c r="G164" s="272" t="str">
        <f t="shared" si="24"/>
        <v/>
      </c>
      <c r="H164" s="272" t="str">
        <f t="shared" si="25"/>
        <v/>
      </c>
      <c r="I164" s="272" t="e">
        <f t="shared" si="21"/>
        <v>#VALUE!</v>
      </c>
      <c r="J164" s="272">
        <f>SUM($H$18:$H164)</f>
        <v>0</v>
      </c>
    </row>
    <row r="165" spans="1:10" x14ac:dyDescent="0.2">
      <c r="A165" s="286" t="str">
        <f t="shared" si="22"/>
        <v/>
      </c>
      <c r="B165" s="270" t="str">
        <f t="shared" si="18"/>
        <v/>
      </c>
      <c r="C165" s="272" t="str">
        <f t="shared" si="23"/>
        <v/>
      </c>
      <c r="D165" s="272" t="str">
        <f t="shared" si="26"/>
        <v/>
      </c>
      <c r="E165" s="273" t="e">
        <f t="shared" si="19"/>
        <v>#VALUE!</v>
      </c>
      <c r="F165" s="272" t="e">
        <f t="shared" si="20"/>
        <v>#VALUE!</v>
      </c>
      <c r="G165" s="272" t="str">
        <f t="shared" si="24"/>
        <v/>
      </c>
      <c r="H165" s="272" t="str">
        <f t="shared" si="25"/>
        <v/>
      </c>
      <c r="I165" s="272" t="e">
        <f t="shared" si="21"/>
        <v>#VALUE!</v>
      </c>
      <c r="J165" s="272">
        <f>SUM($H$18:$H165)</f>
        <v>0</v>
      </c>
    </row>
    <row r="166" spans="1:10" x14ac:dyDescent="0.2">
      <c r="A166" s="286" t="str">
        <f t="shared" si="22"/>
        <v/>
      </c>
      <c r="B166" s="270" t="str">
        <f t="shared" si="18"/>
        <v/>
      </c>
      <c r="C166" s="272" t="str">
        <f t="shared" si="23"/>
        <v/>
      </c>
      <c r="D166" s="272" t="str">
        <f t="shared" si="26"/>
        <v/>
      </c>
      <c r="E166" s="273" t="e">
        <f t="shared" si="19"/>
        <v>#VALUE!</v>
      </c>
      <c r="F166" s="272" t="e">
        <f t="shared" si="20"/>
        <v>#VALUE!</v>
      </c>
      <c r="G166" s="272" t="str">
        <f t="shared" si="24"/>
        <v/>
      </c>
      <c r="H166" s="272" t="str">
        <f t="shared" si="25"/>
        <v/>
      </c>
      <c r="I166" s="272" t="e">
        <f t="shared" si="21"/>
        <v>#VALUE!</v>
      </c>
      <c r="J166" s="272">
        <f>SUM($H$18:$H166)</f>
        <v>0</v>
      </c>
    </row>
    <row r="167" spans="1:10" x14ac:dyDescent="0.2">
      <c r="A167" s="286" t="str">
        <f t="shared" si="22"/>
        <v/>
      </c>
      <c r="B167" s="270" t="str">
        <f t="shared" si="18"/>
        <v/>
      </c>
      <c r="C167" s="272" t="str">
        <f t="shared" si="23"/>
        <v/>
      </c>
      <c r="D167" s="272" t="str">
        <f t="shared" si="26"/>
        <v/>
      </c>
      <c r="E167" s="273" t="e">
        <f t="shared" si="19"/>
        <v>#VALUE!</v>
      </c>
      <c r="F167" s="272" t="e">
        <f t="shared" si="20"/>
        <v>#VALUE!</v>
      </c>
      <c r="G167" s="272" t="str">
        <f t="shared" si="24"/>
        <v/>
      </c>
      <c r="H167" s="272" t="str">
        <f t="shared" si="25"/>
        <v/>
      </c>
      <c r="I167" s="272" t="e">
        <f t="shared" si="21"/>
        <v>#VALUE!</v>
      </c>
      <c r="J167" s="272">
        <f>SUM($H$18:$H167)</f>
        <v>0</v>
      </c>
    </row>
    <row r="168" spans="1:10" x14ac:dyDescent="0.2">
      <c r="A168" s="286" t="str">
        <f t="shared" si="22"/>
        <v/>
      </c>
      <c r="B168" s="270" t="str">
        <f t="shared" si="18"/>
        <v/>
      </c>
      <c r="C168" s="272" t="str">
        <f t="shared" si="23"/>
        <v/>
      </c>
      <c r="D168" s="272" t="str">
        <f t="shared" si="26"/>
        <v/>
      </c>
      <c r="E168" s="273" t="e">
        <f t="shared" si="19"/>
        <v>#VALUE!</v>
      </c>
      <c r="F168" s="272" t="e">
        <f t="shared" si="20"/>
        <v>#VALUE!</v>
      </c>
      <c r="G168" s="272" t="str">
        <f t="shared" si="24"/>
        <v/>
      </c>
      <c r="H168" s="272" t="str">
        <f t="shared" si="25"/>
        <v/>
      </c>
      <c r="I168" s="272" t="e">
        <f t="shared" si="21"/>
        <v>#VALUE!</v>
      </c>
      <c r="J168" s="272">
        <f>SUM($H$18:$H168)</f>
        <v>0</v>
      </c>
    </row>
    <row r="169" spans="1:10" x14ac:dyDescent="0.2">
      <c r="A169" s="286" t="str">
        <f t="shared" si="22"/>
        <v/>
      </c>
      <c r="B169" s="270" t="str">
        <f t="shared" si="18"/>
        <v/>
      </c>
      <c r="C169" s="272" t="str">
        <f t="shared" si="23"/>
        <v/>
      </c>
      <c r="D169" s="272" t="str">
        <f t="shared" si="26"/>
        <v/>
      </c>
      <c r="E169" s="273" t="e">
        <f t="shared" si="19"/>
        <v>#VALUE!</v>
      </c>
      <c r="F169" s="272" t="e">
        <f t="shared" si="20"/>
        <v>#VALUE!</v>
      </c>
      <c r="G169" s="272" t="str">
        <f t="shared" si="24"/>
        <v/>
      </c>
      <c r="H169" s="272" t="str">
        <f t="shared" si="25"/>
        <v/>
      </c>
      <c r="I169" s="272" t="e">
        <f t="shared" si="21"/>
        <v>#VALUE!</v>
      </c>
      <c r="J169" s="272">
        <f>SUM($H$18:$H169)</f>
        <v>0</v>
      </c>
    </row>
    <row r="170" spans="1:10" x14ac:dyDescent="0.2">
      <c r="A170" s="286" t="str">
        <f t="shared" si="22"/>
        <v/>
      </c>
      <c r="B170" s="270" t="str">
        <f t="shared" si="18"/>
        <v/>
      </c>
      <c r="C170" s="272" t="str">
        <f t="shared" si="23"/>
        <v/>
      </c>
      <c r="D170" s="272" t="str">
        <f t="shared" si="26"/>
        <v/>
      </c>
      <c r="E170" s="273" t="e">
        <f t="shared" si="19"/>
        <v>#VALUE!</v>
      </c>
      <c r="F170" s="272" t="e">
        <f t="shared" si="20"/>
        <v>#VALUE!</v>
      </c>
      <c r="G170" s="272" t="str">
        <f t="shared" si="24"/>
        <v/>
      </c>
      <c r="H170" s="272" t="str">
        <f t="shared" si="25"/>
        <v/>
      </c>
      <c r="I170" s="272" t="e">
        <f t="shared" si="21"/>
        <v>#VALUE!</v>
      </c>
      <c r="J170" s="272">
        <f>SUM($H$18:$H170)</f>
        <v>0</v>
      </c>
    </row>
    <row r="171" spans="1:10" x14ac:dyDescent="0.2">
      <c r="A171" s="286" t="str">
        <f t="shared" si="22"/>
        <v/>
      </c>
      <c r="B171" s="270" t="str">
        <f t="shared" si="18"/>
        <v/>
      </c>
      <c r="C171" s="272" t="str">
        <f t="shared" si="23"/>
        <v/>
      </c>
      <c r="D171" s="272" t="str">
        <f t="shared" si="26"/>
        <v/>
      </c>
      <c r="E171" s="273" t="e">
        <f t="shared" si="19"/>
        <v>#VALUE!</v>
      </c>
      <c r="F171" s="272" t="e">
        <f t="shared" si="20"/>
        <v>#VALUE!</v>
      </c>
      <c r="G171" s="272" t="str">
        <f t="shared" si="24"/>
        <v/>
      </c>
      <c r="H171" s="272" t="str">
        <f t="shared" si="25"/>
        <v/>
      </c>
      <c r="I171" s="272" t="e">
        <f t="shared" si="21"/>
        <v>#VALUE!</v>
      </c>
      <c r="J171" s="272">
        <f>SUM($H$18:$H171)</f>
        <v>0</v>
      </c>
    </row>
    <row r="172" spans="1:10" x14ac:dyDescent="0.2">
      <c r="A172" s="286" t="str">
        <f t="shared" si="22"/>
        <v/>
      </c>
      <c r="B172" s="270" t="str">
        <f t="shared" si="18"/>
        <v/>
      </c>
      <c r="C172" s="272" t="str">
        <f t="shared" si="23"/>
        <v/>
      </c>
      <c r="D172" s="272" t="str">
        <f t="shared" si="26"/>
        <v/>
      </c>
      <c r="E172" s="273" t="e">
        <f t="shared" si="19"/>
        <v>#VALUE!</v>
      </c>
      <c r="F172" s="272" t="e">
        <f t="shared" si="20"/>
        <v>#VALUE!</v>
      </c>
      <c r="G172" s="272" t="str">
        <f t="shared" si="24"/>
        <v/>
      </c>
      <c r="H172" s="272" t="str">
        <f t="shared" si="25"/>
        <v/>
      </c>
      <c r="I172" s="272" t="e">
        <f t="shared" si="21"/>
        <v>#VALUE!</v>
      </c>
      <c r="J172" s="272">
        <f>SUM($H$18:$H172)</f>
        <v>0</v>
      </c>
    </row>
    <row r="173" spans="1:10" x14ac:dyDescent="0.2">
      <c r="A173" s="286" t="str">
        <f t="shared" si="22"/>
        <v/>
      </c>
      <c r="B173" s="270" t="str">
        <f t="shared" si="18"/>
        <v/>
      </c>
      <c r="C173" s="272" t="str">
        <f t="shared" si="23"/>
        <v/>
      </c>
      <c r="D173" s="272" t="str">
        <f t="shared" si="26"/>
        <v/>
      </c>
      <c r="E173" s="273" t="e">
        <f t="shared" si="19"/>
        <v>#VALUE!</v>
      </c>
      <c r="F173" s="272" t="e">
        <f t="shared" si="20"/>
        <v>#VALUE!</v>
      </c>
      <c r="G173" s="272" t="str">
        <f t="shared" si="24"/>
        <v/>
      </c>
      <c r="H173" s="272" t="str">
        <f t="shared" si="25"/>
        <v/>
      </c>
      <c r="I173" s="272" t="e">
        <f t="shared" si="21"/>
        <v>#VALUE!</v>
      </c>
      <c r="J173" s="272">
        <f>SUM($H$18:$H173)</f>
        <v>0</v>
      </c>
    </row>
    <row r="174" spans="1:10" x14ac:dyDescent="0.2">
      <c r="A174" s="286" t="str">
        <f t="shared" si="22"/>
        <v/>
      </c>
      <c r="B174" s="270" t="str">
        <f t="shared" si="18"/>
        <v/>
      </c>
      <c r="C174" s="272" t="str">
        <f t="shared" si="23"/>
        <v/>
      </c>
      <c r="D174" s="272" t="str">
        <f t="shared" si="26"/>
        <v/>
      </c>
      <c r="E174" s="273" t="e">
        <f t="shared" si="19"/>
        <v>#VALUE!</v>
      </c>
      <c r="F174" s="272" t="e">
        <f t="shared" si="20"/>
        <v>#VALUE!</v>
      </c>
      <c r="G174" s="272" t="str">
        <f t="shared" si="24"/>
        <v/>
      </c>
      <c r="H174" s="272" t="str">
        <f t="shared" si="25"/>
        <v/>
      </c>
      <c r="I174" s="272" t="e">
        <f t="shared" si="21"/>
        <v>#VALUE!</v>
      </c>
      <c r="J174" s="272">
        <f>SUM($H$18:$H174)</f>
        <v>0</v>
      </c>
    </row>
    <row r="175" spans="1:10" x14ac:dyDescent="0.2">
      <c r="A175" s="286" t="str">
        <f t="shared" si="22"/>
        <v/>
      </c>
      <c r="B175" s="270" t="str">
        <f t="shared" si="18"/>
        <v/>
      </c>
      <c r="C175" s="272" t="str">
        <f t="shared" si="23"/>
        <v/>
      </c>
      <c r="D175" s="272" t="str">
        <f t="shared" si="26"/>
        <v/>
      </c>
      <c r="E175" s="273" t="e">
        <f t="shared" si="19"/>
        <v>#VALUE!</v>
      </c>
      <c r="F175" s="272" t="e">
        <f t="shared" si="20"/>
        <v>#VALUE!</v>
      </c>
      <c r="G175" s="272" t="str">
        <f t="shared" si="24"/>
        <v/>
      </c>
      <c r="H175" s="272" t="str">
        <f t="shared" si="25"/>
        <v/>
      </c>
      <c r="I175" s="272" t="e">
        <f t="shared" si="21"/>
        <v>#VALUE!</v>
      </c>
      <c r="J175" s="272">
        <f>SUM($H$18:$H175)</f>
        <v>0</v>
      </c>
    </row>
    <row r="176" spans="1:10" x14ac:dyDescent="0.2">
      <c r="A176" s="286" t="str">
        <f t="shared" si="22"/>
        <v/>
      </c>
      <c r="B176" s="270" t="str">
        <f t="shared" si="18"/>
        <v/>
      </c>
      <c r="C176" s="272" t="str">
        <f t="shared" si="23"/>
        <v/>
      </c>
      <c r="D176" s="272" t="str">
        <f t="shared" si="26"/>
        <v/>
      </c>
      <c r="E176" s="273" t="e">
        <f t="shared" si="19"/>
        <v>#VALUE!</v>
      </c>
      <c r="F176" s="272" t="e">
        <f t="shared" si="20"/>
        <v>#VALUE!</v>
      </c>
      <c r="G176" s="272" t="str">
        <f t="shared" si="24"/>
        <v/>
      </c>
      <c r="H176" s="272" t="str">
        <f t="shared" si="25"/>
        <v/>
      </c>
      <c r="I176" s="272" t="e">
        <f t="shared" si="21"/>
        <v>#VALUE!</v>
      </c>
      <c r="J176" s="272">
        <f>SUM($H$18:$H176)</f>
        <v>0</v>
      </c>
    </row>
    <row r="177" spans="1:10" x14ac:dyDescent="0.2">
      <c r="A177" s="286" t="str">
        <f t="shared" si="22"/>
        <v/>
      </c>
      <c r="B177" s="270" t="str">
        <f t="shared" si="18"/>
        <v/>
      </c>
      <c r="C177" s="272" t="str">
        <f t="shared" si="23"/>
        <v/>
      </c>
      <c r="D177" s="272" t="str">
        <f t="shared" si="26"/>
        <v/>
      </c>
      <c r="E177" s="273" t="e">
        <f t="shared" si="19"/>
        <v>#VALUE!</v>
      </c>
      <c r="F177" s="272" t="e">
        <f t="shared" si="20"/>
        <v>#VALUE!</v>
      </c>
      <c r="G177" s="272" t="str">
        <f t="shared" si="24"/>
        <v/>
      </c>
      <c r="H177" s="272" t="str">
        <f t="shared" si="25"/>
        <v/>
      </c>
      <c r="I177" s="272" t="e">
        <f t="shared" si="21"/>
        <v>#VALUE!</v>
      </c>
      <c r="J177" s="272">
        <f>SUM($H$18:$H177)</f>
        <v>0</v>
      </c>
    </row>
    <row r="178" spans="1:10" x14ac:dyDescent="0.2">
      <c r="A178" s="286" t="str">
        <f t="shared" si="22"/>
        <v/>
      </c>
      <c r="B178" s="270" t="str">
        <f t="shared" si="18"/>
        <v/>
      </c>
      <c r="C178" s="272" t="str">
        <f t="shared" si="23"/>
        <v/>
      </c>
      <c r="D178" s="272" t="str">
        <f t="shared" si="26"/>
        <v/>
      </c>
      <c r="E178" s="273" t="e">
        <f t="shared" si="19"/>
        <v>#VALUE!</v>
      </c>
      <c r="F178" s="272" t="e">
        <f t="shared" si="20"/>
        <v>#VALUE!</v>
      </c>
      <c r="G178" s="272" t="str">
        <f t="shared" si="24"/>
        <v/>
      </c>
      <c r="H178" s="272" t="str">
        <f t="shared" si="25"/>
        <v/>
      </c>
      <c r="I178" s="272" t="e">
        <f t="shared" si="21"/>
        <v>#VALUE!</v>
      </c>
      <c r="J178" s="272">
        <f>SUM($H$18:$H178)</f>
        <v>0</v>
      </c>
    </row>
    <row r="179" spans="1:10" x14ac:dyDescent="0.2">
      <c r="A179" s="286" t="str">
        <f t="shared" si="22"/>
        <v/>
      </c>
      <c r="B179" s="270" t="str">
        <f t="shared" si="18"/>
        <v/>
      </c>
      <c r="C179" s="272" t="str">
        <f t="shared" si="23"/>
        <v/>
      </c>
      <c r="D179" s="272" t="str">
        <f t="shared" si="26"/>
        <v/>
      </c>
      <c r="E179" s="273" t="e">
        <f t="shared" si="19"/>
        <v>#VALUE!</v>
      </c>
      <c r="F179" s="272" t="e">
        <f t="shared" si="20"/>
        <v>#VALUE!</v>
      </c>
      <c r="G179" s="272" t="str">
        <f t="shared" si="24"/>
        <v/>
      </c>
      <c r="H179" s="272" t="str">
        <f t="shared" si="25"/>
        <v/>
      </c>
      <c r="I179" s="272" t="e">
        <f t="shared" si="21"/>
        <v>#VALUE!</v>
      </c>
      <c r="J179" s="272">
        <f>SUM($H$18:$H179)</f>
        <v>0</v>
      </c>
    </row>
    <row r="180" spans="1:10" x14ac:dyDescent="0.2">
      <c r="A180" s="286" t="str">
        <f t="shared" si="22"/>
        <v/>
      </c>
      <c r="B180" s="270" t="str">
        <f t="shared" si="18"/>
        <v/>
      </c>
      <c r="C180" s="272" t="str">
        <f t="shared" si="23"/>
        <v/>
      </c>
      <c r="D180" s="272" t="str">
        <f t="shared" si="26"/>
        <v/>
      </c>
      <c r="E180" s="273" t="e">
        <f t="shared" si="19"/>
        <v>#VALUE!</v>
      </c>
      <c r="F180" s="272" t="e">
        <f t="shared" si="20"/>
        <v>#VALUE!</v>
      </c>
      <c r="G180" s="272" t="str">
        <f t="shared" si="24"/>
        <v/>
      </c>
      <c r="H180" s="272" t="str">
        <f t="shared" si="25"/>
        <v/>
      </c>
      <c r="I180" s="272" t="e">
        <f t="shared" si="21"/>
        <v>#VALUE!</v>
      </c>
      <c r="J180" s="272">
        <f>SUM($H$18:$H180)</f>
        <v>0</v>
      </c>
    </row>
    <row r="181" spans="1:10" x14ac:dyDescent="0.2">
      <c r="A181" s="286" t="str">
        <f t="shared" si="22"/>
        <v/>
      </c>
      <c r="B181" s="270" t="str">
        <f t="shared" si="18"/>
        <v/>
      </c>
      <c r="C181" s="272" t="str">
        <f t="shared" si="23"/>
        <v/>
      </c>
      <c r="D181" s="272" t="str">
        <f t="shared" si="26"/>
        <v/>
      </c>
      <c r="E181" s="273" t="e">
        <f t="shared" si="19"/>
        <v>#VALUE!</v>
      </c>
      <c r="F181" s="272" t="e">
        <f t="shared" si="20"/>
        <v>#VALUE!</v>
      </c>
      <c r="G181" s="272" t="str">
        <f t="shared" si="24"/>
        <v/>
      </c>
      <c r="H181" s="272" t="str">
        <f t="shared" si="25"/>
        <v/>
      </c>
      <c r="I181" s="272" t="e">
        <f t="shared" si="21"/>
        <v>#VALUE!</v>
      </c>
      <c r="J181" s="272">
        <f>SUM($H$18:$H181)</f>
        <v>0</v>
      </c>
    </row>
    <row r="182" spans="1:10" x14ac:dyDescent="0.2">
      <c r="A182" s="286" t="str">
        <f t="shared" si="22"/>
        <v/>
      </c>
      <c r="B182" s="270" t="str">
        <f t="shared" si="18"/>
        <v/>
      </c>
      <c r="C182" s="272" t="str">
        <f t="shared" si="23"/>
        <v/>
      </c>
      <c r="D182" s="272" t="str">
        <f t="shared" si="26"/>
        <v/>
      </c>
      <c r="E182" s="273" t="e">
        <f t="shared" si="19"/>
        <v>#VALUE!</v>
      </c>
      <c r="F182" s="272" t="e">
        <f t="shared" si="20"/>
        <v>#VALUE!</v>
      </c>
      <c r="G182" s="272" t="str">
        <f t="shared" si="24"/>
        <v/>
      </c>
      <c r="H182" s="272" t="str">
        <f t="shared" si="25"/>
        <v/>
      </c>
      <c r="I182" s="272" t="e">
        <f t="shared" si="21"/>
        <v>#VALUE!</v>
      </c>
      <c r="J182" s="272">
        <f>SUM($H$18:$H182)</f>
        <v>0</v>
      </c>
    </row>
    <row r="183" spans="1:10" x14ac:dyDescent="0.2">
      <c r="A183" s="286" t="str">
        <f t="shared" si="22"/>
        <v/>
      </c>
      <c r="B183" s="270" t="str">
        <f t="shared" si="18"/>
        <v/>
      </c>
      <c r="C183" s="272" t="str">
        <f t="shared" si="23"/>
        <v/>
      </c>
      <c r="D183" s="272" t="str">
        <f t="shared" si="26"/>
        <v/>
      </c>
      <c r="E183" s="273" t="e">
        <f t="shared" si="19"/>
        <v>#VALUE!</v>
      </c>
      <c r="F183" s="272" t="e">
        <f t="shared" si="20"/>
        <v>#VALUE!</v>
      </c>
      <c r="G183" s="272" t="str">
        <f t="shared" si="24"/>
        <v/>
      </c>
      <c r="H183" s="272" t="str">
        <f t="shared" si="25"/>
        <v/>
      </c>
      <c r="I183" s="272" t="e">
        <f t="shared" si="21"/>
        <v>#VALUE!</v>
      </c>
      <c r="J183" s="272">
        <f>SUM($H$18:$H183)</f>
        <v>0</v>
      </c>
    </row>
    <row r="184" spans="1:10" x14ac:dyDescent="0.2">
      <c r="A184" s="286" t="str">
        <f t="shared" si="22"/>
        <v/>
      </c>
      <c r="B184" s="270" t="str">
        <f t="shared" si="18"/>
        <v/>
      </c>
      <c r="C184" s="272" t="str">
        <f t="shared" si="23"/>
        <v/>
      </c>
      <c r="D184" s="272" t="str">
        <f t="shared" si="26"/>
        <v/>
      </c>
      <c r="E184" s="273" t="e">
        <f t="shared" si="19"/>
        <v>#VALUE!</v>
      </c>
      <c r="F184" s="272" t="e">
        <f t="shared" si="20"/>
        <v>#VALUE!</v>
      </c>
      <c r="G184" s="272" t="str">
        <f t="shared" si="24"/>
        <v/>
      </c>
      <c r="H184" s="272" t="str">
        <f t="shared" si="25"/>
        <v/>
      </c>
      <c r="I184" s="272" t="e">
        <f t="shared" si="21"/>
        <v>#VALUE!</v>
      </c>
      <c r="J184" s="272">
        <f>SUM($H$18:$H184)</f>
        <v>0</v>
      </c>
    </row>
    <row r="185" spans="1:10" x14ac:dyDescent="0.2">
      <c r="A185" s="286" t="str">
        <f t="shared" si="22"/>
        <v/>
      </c>
      <c r="B185" s="270" t="str">
        <f t="shared" si="18"/>
        <v/>
      </c>
      <c r="C185" s="272" t="str">
        <f t="shared" si="23"/>
        <v/>
      </c>
      <c r="D185" s="272" t="str">
        <f t="shared" si="26"/>
        <v/>
      </c>
      <c r="E185" s="273" t="e">
        <f t="shared" si="19"/>
        <v>#VALUE!</v>
      </c>
      <c r="F185" s="272" t="e">
        <f t="shared" si="20"/>
        <v>#VALUE!</v>
      </c>
      <c r="G185" s="272" t="str">
        <f t="shared" si="24"/>
        <v/>
      </c>
      <c r="H185" s="272" t="str">
        <f t="shared" si="25"/>
        <v/>
      </c>
      <c r="I185" s="272" t="e">
        <f t="shared" si="21"/>
        <v>#VALUE!</v>
      </c>
      <c r="J185" s="272">
        <f>SUM($H$18:$H185)</f>
        <v>0</v>
      </c>
    </row>
    <row r="186" spans="1:10" x14ac:dyDescent="0.2">
      <c r="A186" s="286" t="str">
        <f t="shared" si="22"/>
        <v/>
      </c>
      <c r="B186" s="270" t="str">
        <f t="shared" si="18"/>
        <v/>
      </c>
      <c r="C186" s="272" t="str">
        <f t="shared" si="23"/>
        <v/>
      </c>
      <c r="D186" s="272" t="str">
        <f t="shared" si="26"/>
        <v/>
      </c>
      <c r="E186" s="273" t="e">
        <f t="shared" si="19"/>
        <v>#VALUE!</v>
      </c>
      <c r="F186" s="272" t="e">
        <f t="shared" si="20"/>
        <v>#VALUE!</v>
      </c>
      <c r="G186" s="272" t="str">
        <f t="shared" si="24"/>
        <v/>
      </c>
      <c r="H186" s="272" t="str">
        <f t="shared" si="25"/>
        <v/>
      </c>
      <c r="I186" s="272" t="e">
        <f t="shared" si="21"/>
        <v>#VALUE!</v>
      </c>
      <c r="J186" s="272">
        <f>SUM($H$18:$H186)</f>
        <v>0</v>
      </c>
    </row>
    <row r="187" spans="1:10" x14ac:dyDescent="0.2">
      <c r="A187" s="286" t="str">
        <f t="shared" si="22"/>
        <v/>
      </c>
      <c r="B187" s="270" t="str">
        <f t="shared" si="18"/>
        <v/>
      </c>
      <c r="C187" s="272" t="str">
        <f t="shared" si="23"/>
        <v/>
      </c>
      <c r="D187" s="272" t="str">
        <f t="shared" si="26"/>
        <v/>
      </c>
      <c r="E187" s="273" t="e">
        <f t="shared" si="19"/>
        <v>#VALUE!</v>
      </c>
      <c r="F187" s="272" t="e">
        <f t="shared" si="20"/>
        <v>#VALUE!</v>
      </c>
      <c r="G187" s="272" t="str">
        <f t="shared" si="24"/>
        <v/>
      </c>
      <c r="H187" s="272" t="str">
        <f t="shared" si="25"/>
        <v/>
      </c>
      <c r="I187" s="272" t="e">
        <f t="shared" si="21"/>
        <v>#VALUE!</v>
      </c>
      <c r="J187" s="272">
        <f>SUM($H$18:$H187)</f>
        <v>0</v>
      </c>
    </row>
    <row r="188" spans="1:10" x14ac:dyDescent="0.2">
      <c r="A188" s="286" t="str">
        <f t="shared" si="22"/>
        <v/>
      </c>
      <c r="B188" s="270" t="str">
        <f t="shared" si="18"/>
        <v/>
      </c>
      <c r="C188" s="272" t="str">
        <f t="shared" si="23"/>
        <v/>
      </c>
      <c r="D188" s="272" t="str">
        <f t="shared" si="26"/>
        <v/>
      </c>
      <c r="E188" s="273" t="e">
        <f t="shared" si="19"/>
        <v>#VALUE!</v>
      </c>
      <c r="F188" s="272" t="e">
        <f t="shared" si="20"/>
        <v>#VALUE!</v>
      </c>
      <c r="G188" s="272" t="str">
        <f t="shared" si="24"/>
        <v/>
      </c>
      <c r="H188" s="272" t="str">
        <f t="shared" si="25"/>
        <v/>
      </c>
      <c r="I188" s="272" t="e">
        <f t="shared" si="21"/>
        <v>#VALUE!</v>
      </c>
      <c r="J188" s="272">
        <f>SUM($H$18:$H188)</f>
        <v>0</v>
      </c>
    </row>
    <row r="189" spans="1:10" x14ac:dyDescent="0.2">
      <c r="A189" s="286" t="str">
        <f t="shared" si="22"/>
        <v/>
      </c>
      <c r="B189" s="270" t="str">
        <f t="shared" si="18"/>
        <v/>
      </c>
      <c r="C189" s="272" t="str">
        <f t="shared" si="23"/>
        <v/>
      </c>
      <c r="D189" s="272" t="str">
        <f t="shared" si="26"/>
        <v/>
      </c>
      <c r="E189" s="273" t="e">
        <f t="shared" si="19"/>
        <v>#VALUE!</v>
      </c>
      <c r="F189" s="272" t="e">
        <f t="shared" si="20"/>
        <v>#VALUE!</v>
      </c>
      <c r="G189" s="272" t="str">
        <f t="shared" si="24"/>
        <v/>
      </c>
      <c r="H189" s="272" t="str">
        <f t="shared" si="25"/>
        <v/>
      </c>
      <c r="I189" s="272" t="e">
        <f t="shared" si="21"/>
        <v>#VALUE!</v>
      </c>
      <c r="J189" s="272">
        <f>SUM($H$18:$H189)</f>
        <v>0</v>
      </c>
    </row>
    <row r="190" spans="1:10" x14ac:dyDescent="0.2">
      <c r="A190" s="286" t="str">
        <f t="shared" si="22"/>
        <v/>
      </c>
      <c r="B190" s="270" t="str">
        <f t="shared" si="18"/>
        <v/>
      </c>
      <c r="C190" s="272" t="str">
        <f t="shared" si="23"/>
        <v/>
      </c>
      <c r="D190" s="272" t="str">
        <f t="shared" si="26"/>
        <v/>
      </c>
      <c r="E190" s="273" t="e">
        <f t="shared" si="19"/>
        <v>#VALUE!</v>
      </c>
      <c r="F190" s="272" t="e">
        <f t="shared" si="20"/>
        <v>#VALUE!</v>
      </c>
      <c r="G190" s="272" t="str">
        <f t="shared" si="24"/>
        <v/>
      </c>
      <c r="H190" s="272" t="str">
        <f t="shared" si="25"/>
        <v/>
      </c>
      <c r="I190" s="272" t="e">
        <f t="shared" si="21"/>
        <v>#VALUE!</v>
      </c>
      <c r="J190" s="272">
        <f>SUM($H$18:$H190)</f>
        <v>0</v>
      </c>
    </row>
    <row r="191" spans="1:10" x14ac:dyDescent="0.2">
      <c r="A191" s="286" t="str">
        <f t="shared" si="22"/>
        <v/>
      </c>
      <c r="B191" s="270" t="str">
        <f t="shared" si="18"/>
        <v/>
      </c>
      <c r="C191" s="272" t="str">
        <f t="shared" si="23"/>
        <v/>
      </c>
      <c r="D191" s="272" t="str">
        <f t="shared" si="26"/>
        <v/>
      </c>
      <c r="E191" s="273" t="e">
        <f t="shared" si="19"/>
        <v>#VALUE!</v>
      </c>
      <c r="F191" s="272" t="e">
        <f t="shared" si="20"/>
        <v>#VALUE!</v>
      </c>
      <c r="G191" s="272" t="str">
        <f t="shared" si="24"/>
        <v/>
      </c>
      <c r="H191" s="272" t="str">
        <f t="shared" si="25"/>
        <v/>
      </c>
      <c r="I191" s="272" t="e">
        <f t="shared" si="21"/>
        <v>#VALUE!</v>
      </c>
      <c r="J191" s="272">
        <f>SUM($H$18:$H191)</f>
        <v>0</v>
      </c>
    </row>
    <row r="192" spans="1:10" x14ac:dyDescent="0.2">
      <c r="A192" s="286" t="str">
        <f t="shared" si="22"/>
        <v/>
      </c>
      <c r="B192" s="270" t="str">
        <f t="shared" si="18"/>
        <v/>
      </c>
      <c r="C192" s="272" t="str">
        <f t="shared" si="23"/>
        <v/>
      </c>
      <c r="D192" s="272" t="str">
        <f t="shared" si="26"/>
        <v/>
      </c>
      <c r="E192" s="273" t="e">
        <f t="shared" si="19"/>
        <v>#VALUE!</v>
      </c>
      <c r="F192" s="272" t="e">
        <f t="shared" si="20"/>
        <v>#VALUE!</v>
      </c>
      <c r="G192" s="272" t="str">
        <f t="shared" si="24"/>
        <v/>
      </c>
      <c r="H192" s="272" t="str">
        <f t="shared" si="25"/>
        <v/>
      </c>
      <c r="I192" s="272" t="e">
        <f t="shared" si="21"/>
        <v>#VALUE!</v>
      </c>
      <c r="J192" s="272">
        <f>SUM($H$18:$H192)</f>
        <v>0</v>
      </c>
    </row>
    <row r="193" spans="1:10" x14ac:dyDescent="0.2">
      <c r="A193" s="286" t="str">
        <f t="shared" si="22"/>
        <v/>
      </c>
      <c r="B193" s="270" t="str">
        <f t="shared" si="18"/>
        <v/>
      </c>
      <c r="C193" s="272" t="str">
        <f t="shared" si="23"/>
        <v/>
      </c>
      <c r="D193" s="272" t="str">
        <f t="shared" si="26"/>
        <v/>
      </c>
      <c r="E193" s="273" t="e">
        <f t="shared" si="19"/>
        <v>#VALUE!</v>
      </c>
      <c r="F193" s="272" t="e">
        <f t="shared" si="20"/>
        <v>#VALUE!</v>
      </c>
      <c r="G193" s="272" t="str">
        <f t="shared" si="24"/>
        <v/>
      </c>
      <c r="H193" s="272" t="str">
        <f t="shared" si="25"/>
        <v/>
      </c>
      <c r="I193" s="272" t="e">
        <f t="shared" si="21"/>
        <v>#VALUE!</v>
      </c>
      <c r="J193" s="272">
        <f>SUM($H$18:$H193)</f>
        <v>0</v>
      </c>
    </row>
    <row r="194" spans="1:10" x14ac:dyDescent="0.2">
      <c r="A194" s="286" t="str">
        <f t="shared" si="22"/>
        <v/>
      </c>
      <c r="B194" s="270" t="str">
        <f t="shared" si="18"/>
        <v/>
      </c>
      <c r="C194" s="272" t="str">
        <f t="shared" si="23"/>
        <v/>
      </c>
      <c r="D194" s="272" t="str">
        <f t="shared" si="26"/>
        <v/>
      </c>
      <c r="E194" s="273" t="e">
        <f t="shared" si="19"/>
        <v>#VALUE!</v>
      </c>
      <c r="F194" s="272" t="e">
        <f t="shared" si="20"/>
        <v>#VALUE!</v>
      </c>
      <c r="G194" s="272" t="str">
        <f t="shared" si="24"/>
        <v/>
      </c>
      <c r="H194" s="272" t="str">
        <f t="shared" si="25"/>
        <v/>
      </c>
      <c r="I194" s="272" t="e">
        <f t="shared" si="21"/>
        <v>#VALUE!</v>
      </c>
      <c r="J194" s="272">
        <f>SUM($H$18:$H194)</f>
        <v>0</v>
      </c>
    </row>
    <row r="195" spans="1:10" x14ac:dyDescent="0.2">
      <c r="A195" s="286" t="str">
        <f t="shared" si="22"/>
        <v/>
      </c>
      <c r="B195" s="270" t="str">
        <f t="shared" si="18"/>
        <v/>
      </c>
      <c r="C195" s="272" t="str">
        <f t="shared" si="23"/>
        <v/>
      </c>
      <c r="D195" s="272" t="str">
        <f t="shared" si="26"/>
        <v/>
      </c>
      <c r="E195" s="273" t="e">
        <f t="shared" si="19"/>
        <v>#VALUE!</v>
      </c>
      <c r="F195" s="272" t="e">
        <f t="shared" si="20"/>
        <v>#VALUE!</v>
      </c>
      <c r="G195" s="272" t="str">
        <f t="shared" si="24"/>
        <v/>
      </c>
      <c r="H195" s="272" t="str">
        <f t="shared" si="25"/>
        <v/>
      </c>
      <c r="I195" s="272" t="e">
        <f t="shared" si="21"/>
        <v>#VALUE!</v>
      </c>
      <c r="J195" s="272">
        <f>SUM($H$18:$H195)</f>
        <v>0</v>
      </c>
    </row>
    <row r="196" spans="1:10" x14ac:dyDescent="0.2">
      <c r="A196" s="286" t="str">
        <f t="shared" si="22"/>
        <v/>
      </c>
      <c r="B196" s="270" t="str">
        <f t="shared" si="18"/>
        <v/>
      </c>
      <c r="C196" s="272" t="str">
        <f t="shared" si="23"/>
        <v/>
      </c>
      <c r="D196" s="272" t="str">
        <f t="shared" si="26"/>
        <v/>
      </c>
      <c r="E196" s="273" t="e">
        <f t="shared" si="19"/>
        <v>#VALUE!</v>
      </c>
      <c r="F196" s="272" t="e">
        <f t="shared" si="20"/>
        <v>#VALUE!</v>
      </c>
      <c r="G196" s="272" t="str">
        <f t="shared" si="24"/>
        <v/>
      </c>
      <c r="H196" s="272" t="str">
        <f t="shared" si="25"/>
        <v/>
      </c>
      <c r="I196" s="272" t="e">
        <f t="shared" si="21"/>
        <v>#VALUE!</v>
      </c>
      <c r="J196" s="272">
        <f>SUM($H$18:$H196)</f>
        <v>0</v>
      </c>
    </row>
    <row r="197" spans="1:10" x14ac:dyDescent="0.2">
      <c r="A197" s="286" t="str">
        <f t="shared" si="22"/>
        <v/>
      </c>
      <c r="B197" s="270" t="str">
        <f t="shared" si="18"/>
        <v/>
      </c>
      <c r="C197" s="272" t="str">
        <f t="shared" si="23"/>
        <v/>
      </c>
      <c r="D197" s="272" t="str">
        <f t="shared" si="26"/>
        <v/>
      </c>
      <c r="E197" s="273" t="e">
        <f t="shared" si="19"/>
        <v>#VALUE!</v>
      </c>
      <c r="F197" s="272" t="e">
        <f t="shared" si="20"/>
        <v>#VALUE!</v>
      </c>
      <c r="G197" s="272" t="str">
        <f t="shared" si="24"/>
        <v/>
      </c>
      <c r="H197" s="272" t="str">
        <f t="shared" si="25"/>
        <v/>
      </c>
      <c r="I197" s="272" t="e">
        <f t="shared" si="21"/>
        <v>#VALUE!</v>
      </c>
      <c r="J197" s="272">
        <f>SUM($H$18:$H197)</f>
        <v>0</v>
      </c>
    </row>
    <row r="198" spans="1:10" x14ac:dyDescent="0.2">
      <c r="A198" s="286" t="str">
        <f t="shared" si="22"/>
        <v/>
      </c>
      <c r="B198" s="270" t="str">
        <f t="shared" si="18"/>
        <v/>
      </c>
      <c r="C198" s="272" t="str">
        <f t="shared" si="23"/>
        <v/>
      </c>
      <c r="D198" s="272" t="str">
        <f t="shared" si="26"/>
        <v/>
      </c>
      <c r="E198" s="273" t="e">
        <f t="shared" si="19"/>
        <v>#VALUE!</v>
      </c>
      <c r="F198" s="272" t="e">
        <f t="shared" si="20"/>
        <v>#VALUE!</v>
      </c>
      <c r="G198" s="272" t="str">
        <f t="shared" si="24"/>
        <v/>
      </c>
      <c r="H198" s="272" t="str">
        <f t="shared" si="25"/>
        <v/>
      </c>
      <c r="I198" s="272" t="e">
        <f t="shared" si="21"/>
        <v>#VALUE!</v>
      </c>
      <c r="J198" s="272">
        <f>SUM($H$18:$H198)</f>
        <v>0</v>
      </c>
    </row>
    <row r="199" spans="1:10" x14ac:dyDescent="0.2">
      <c r="A199" s="286" t="str">
        <f t="shared" si="22"/>
        <v/>
      </c>
      <c r="B199" s="270" t="str">
        <f t="shared" si="18"/>
        <v/>
      </c>
      <c r="C199" s="272" t="str">
        <f t="shared" si="23"/>
        <v/>
      </c>
      <c r="D199" s="272" t="str">
        <f t="shared" si="26"/>
        <v/>
      </c>
      <c r="E199" s="273" t="e">
        <f t="shared" si="19"/>
        <v>#VALUE!</v>
      </c>
      <c r="F199" s="272" t="e">
        <f t="shared" si="20"/>
        <v>#VALUE!</v>
      </c>
      <c r="G199" s="272" t="str">
        <f t="shared" si="24"/>
        <v/>
      </c>
      <c r="H199" s="272" t="str">
        <f t="shared" si="25"/>
        <v/>
      </c>
      <c r="I199" s="272" t="e">
        <f t="shared" si="21"/>
        <v>#VALUE!</v>
      </c>
      <c r="J199" s="272">
        <f>SUM($H$18:$H199)</f>
        <v>0</v>
      </c>
    </row>
    <row r="200" spans="1:10" x14ac:dyDescent="0.2">
      <c r="A200" s="286" t="str">
        <f t="shared" si="22"/>
        <v/>
      </c>
      <c r="B200" s="270" t="str">
        <f t="shared" si="18"/>
        <v/>
      </c>
      <c r="C200" s="272" t="str">
        <f t="shared" si="23"/>
        <v/>
      </c>
      <c r="D200" s="272" t="str">
        <f t="shared" si="26"/>
        <v/>
      </c>
      <c r="E200" s="273" t="e">
        <f t="shared" si="19"/>
        <v>#VALUE!</v>
      </c>
      <c r="F200" s="272" t="e">
        <f t="shared" si="20"/>
        <v>#VALUE!</v>
      </c>
      <c r="G200" s="272" t="str">
        <f t="shared" si="24"/>
        <v/>
      </c>
      <c r="H200" s="272" t="str">
        <f t="shared" si="25"/>
        <v/>
      </c>
      <c r="I200" s="272" t="e">
        <f t="shared" si="21"/>
        <v>#VALUE!</v>
      </c>
      <c r="J200" s="272">
        <f>SUM($H$18:$H200)</f>
        <v>0</v>
      </c>
    </row>
    <row r="201" spans="1:10" x14ac:dyDescent="0.2">
      <c r="A201" s="286" t="str">
        <f t="shared" si="22"/>
        <v/>
      </c>
      <c r="B201" s="270" t="str">
        <f t="shared" si="18"/>
        <v/>
      </c>
      <c r="C201" s="272" t="str">
        <f t="shared" si="23"/>
        <v/>
      </c>
      <c r="D201" s="272" t="str">
        <f t="shared" si="26"/>
        <v/>
      </c>
      <c r="E201" s="273" t="e">
        <f t="shared" si="19"/>
        <v>#VALUE!</v>
      </c>
      <c r="F201" s="272" t="e">
        <f t="shared" si="20"/>
        <v>#VALUE!</v>
      </c>
      <c r="G201" s="272" t="str">
        <f t="shared" si="24"/>
        <v/>
      </c>
      <c r="H201" s="272" t="str">
        <f t="shared" si="25"/>
        <v/>
      </c>
      <c r="I201" s="272" t="e">
        <f t="shared" si="21"/>
        <v>#VALUE!</v>
      </c>
      <c r="J201" s="272">
        <f>SUM($H$18:$H201)</f>
        <v>0</v>
      </c>
    </row>
    <row r="202" spans="1:10" x14ac:dyDescent="0.2">
      <c r="A202" s="286" t="str">
        <f t="shared" si="22"/>
        <v/>
      </c>
      <c r="B202" s="270" t="str">
        <f t="shared" si="18"/>
        <v/>
      </c>
      <c r="C202" s="272" t="str">
        <f t="shared" si="23"/>
        <v/>
      </c>
      <c r="D202" s="272" t="str">
        <f t="shared" si="26"/>
        <v/>
      </c>
      <c r="E202" s="273" t="e">
        <f t="shared" si="19"/>
        <v>#VALUE!</v>
      </c>
      <c r="F202" s="272" t="e">
        <f t="shared" si="20"/>
        <v>#VALUE!</v>
      </c>
      <c r="G202" s="272" t="str">
        <f t="shared" si="24"/>
        <v/>
      </c>
      <c r="H202" s="272" t="str">
        <f t="shared" si="25"/>
        <v/>
      </c>
      <c r="I202" s="272" t="e">
        <f t="shared" si="21"/>
        <v>#VALUE!</v>
      </c>
      <c r="J202" s="272">
        <f>SUM($H$18:$H202)</f>
        <v>0</v>
      </c>
    </row>
    <row r="203" spans="1:10" x14ac:dyDescent="0.2">
      <c r="A203" s="286" t="str">
        <f t="shared" si="22"/>
        <v/>
      </c>
      <c r="B203" s="270" t="str">
        <f t="shared" si="18"/>
        <v/>
      </c>
      <c r="C203" s="272" t="str">
        <f t="shared" si="23"/>
        <v/>
      </c>
      <c r="D203" s="272" t="str">
        <f t="shared" si="26"/>
        <v/>
      </c>
      <c r="E203" s="273" t="e">
        <f t="shared" si="19"/>
        <v>#VALUE!</v>
      </c>
      <c r="F203" s="272" t="e">
        <f t="shared" si="20"/>
        <v>#VALUE!</v>
      </c>
      <c r="G203" s="272" t="str">
        <f t="shared" si="24"/>
        <v/>
      </c>
      <c r="H203" s="272" t="str">
        <f t="shared" si="25"/>
        <v/>
      </c>
      <c r="I203" s="272" t="e">
        <f t="shared" si="21"/>
        <v>#VALUE!</v>
      </c>
      <c r="J203" s="272">
        <f>SUM($H$18:$H203)</f>
        <v>0</v>
      </c>
    </row>
    <row r="204" spans="1:10" x14ac:dyDescent="0.2">
      <c r="A204" s="286" t="str">
        <f t="shared" si="22"/>
        <v/>
      </c>
      <c r="B204" s="270" t="str">
        <f t="shared" si="18"/>
        <v/>
      </c>
      <c r="C204" s="272" t="str">
        <f t="shared" si="23"/>
        <v/>
      </c>
      <c r="D204" s="272" t="str">
        <f t="shared" si="26"/>
        <v/>
      </c>
      <c r="E204" s="273" t="e">
        <f t="shared" si="19"/>
        <v>#VALUE!</v>
      </c>
      <c r="F204" s="272" t="e">
        <f t="shared" si="20"/>
        <v>#VALUE!</v>
      </c>
      <c r="G204" s="272" t="str">
        <f t="shared" si="24"/>
        <v/>
      </c>
      <c r="H204" s="272" t="str">
        <f t="shared" si="25"/>
        <v/>
      </c>
      <c r="I204" s="272" t="e">
        <f t="shared" si="21"/>
        <v>#VALUE!</v>
      </c>
      <c r="J204" s="272">
        <f>SUM($H$18:$H204)</f>
        <v>0</v>
      </c>
    </row>
    <row r="205" spans="1:10" x14ac:dyDescent="0.2">
      <c r="A205" s="286" t="str">
        <f t="shared" si="22"/>
        <v/>
      </c>
      <c r="B205" s="270" t="str">
        <f t="shared" si="18"/>
        <v/>
      </c>
      <c r="C205" s="272" t="str">
        <f t="shared" si="23"/>
        <v/>
      </c>
      <c r="D205" s="272" t="str">
        <f t="shared" si="26"/>
        <v/>
      </c>
      <c r="E205" s="273" t="e">
        <f t="shared" si="19"/>
        <v>#VALUE!</v>
      </c>
      <c r="F205" s="272" t="e">
        <f t="shared" si="20"/>
        <v>#VALUE!</v>
      </c>
      <c r="G205" s="272" t="str">
        <f t="shared" si="24"/>
        <v/>
      </c>
      <c r="H205" s="272" t="str">
        <f t="shared" si="25"/>
        <v/>
      </c>
      <c r="I205" s="272" t="e">
        <f t="shared" si="21"/>
        <v>#VALUE!</v>
      </c>
      <c r="J205" s="272">
        <f>SUM($H$18:$H205)</f>
        <v>0</v>
      </c>
    </row>
    <row r="206" spans="1:10" x14ac:dyDescent="0.2">
      <c r="A206" s="286" t="str">
        <f t="shared" si="22"/>
        <v/>
      </c>
      <c r="B206" s="270" t="str">
        <f t="shared" si="18"/>
        <v/>
      </c>
      <c r="C206" s="272" t="str">
        <f t="shared" si="23"/>
        <v/>
      </c>
      <c r="D206" s="272" t="str">
        <f t="shared" si="26"/>
        <v/>
      </c>
      <c r="E206" s="273" t="e">
        <f t="shared" si="19"/>
        <v>#VALUE!</v>
      </c>
      <c r="F206" s="272" t="e">
        <f t="shared" si="20"/>
        <v>#VALUE!</v>
      </c>
      <c r="G206" s="272" t="str">
        <f t="shared" si="24"/>
        <v/>
      </c>
      <c r="H206" s="272" t="str">
        <f t="shared" si="25"/>
        <v/>
      </c>
      <c r="I206" s="272" t="e">
        <f t="shared" si="21"/>
        <v>#VALUE!</v>
      </c>
      <c r="J206" s="272">
        <f>SUM($H$18:$H206)</f>
        <v>0</v>
      </c>
    </row>
    <row r="207" spans="1:10" x14ac:dyDescent="0.2">
      <c r="A207" s="286" t="str">
        <f t="shared" si="22"/>
        <v/>
      </c>
      <c r="B207" s="270" t="str">
        <f t="shared" si="18"/>
        <v/>
      </c>
      <c r="C207" s="272" t="str">
        <f t="shared" si="23"/>
        <v/>
      </c>
      <c r="D207" s="272" t="str">
        <f t="shared" si="26"/>
        <v/>
      </c>
      <c r="E207" s="273" t="e">
        <f t="shared" si="19"/>
        <v>#VALUE!</v>
      </c>
      <c r="F207" s="272" t="e">
        <f t="shared" si="20"/>
        <v>#VALUE!</v>
      </c>
      <c r="G207" s="272" t="str">
        <f t="shared" si="24"/>
        <v/>
      </c>
      <c r="H207" s="272" t="str">
        <f t="shared" si="25"/>
        <v/>
      </c>
      <c r="I207" s="272" t="e">
        <f t="shared" si="21"/>
        <v>#VALUE!</v>
      </c>
      <c r="J207" s="272">
        <f>SUM($H$18:$H207)</f>
        <v>0</v>
      </c>
    </row>
    <row r="208" spans="1:10" x14ac:dyDescent="0.2">
      <c r="A208" s="286" t="str">
        <f t="shared" si="22"/>
        <v/>
      </c>
      <c r="B208" s="270" t="str">
        <f t="shared" si="18"/>
        <v/>
      </c>
      <c r="C208" s="272" t="str">
        <f t="shared" si="23"/>
        <v/>
      </c>
      <c r="D208" s="272" t="str">
        <f t="shared" si="26"/>
        <v/>
      </c>
      <c r="E208" s="273" t="e">
        <f t="shared" si="19"/>
        <v>#VALUE!</v>
      </c>
      <c r="F208" s="272" t="e">
        <f t="shared" si="20"/>
        <v>#VALUE!</v>
      </c>
      <c r="G208" s="272" t="str">
        <f t="shared" si="24"/>
        <v/>
      </c>
      <c r="H208" s="272" t="str">
        <f t="shared" si="25"/>
        <v/>
      </c>
      <c r="I208" s="272" t="e">
        <f t="shared" si="21"/>
        <v>#VALUE!</v>
      </c>
      <c r="J208" s="272">
        <f>SUM($H$18:$H208)</f>
        <v>0</v>
      </c>
    </row>
    <row r="209" spans="1:10" x14ac:dyDescent="0.2">
      <c r="A209" s="286" t="str">
        <f t="shared" si="22"/>
        <v/>
      </c>
      <c r="B209" s="270" t="str">
        <f t="shared" si="18"/>
        <v/>
      </c>
      <c r="C209" s="272" t="str">
        <f t="shared" si="23"/>
        <v/>
      </c>
      <c r="D209" s="272" t="str">
        <f t="shared" si="26"/>
        <v/>
      </c>
      <c r="E209" s="273" t="e">
        <f t="shared" si="19"/>
        <v>#VALUE!</v>
      </c>
      <c r="F209" s="272" t="e">
        <f t="shared" si="20"/>
        <v>#VALUE!</v>
      </c>
      <c r="G209" s="272" t="str">
        <f t="shared" si="24"/>
        <v/>
      </c>
      <c r="H209" s="272" t="str">
        <f t="shared" si="25"/>
        <v/>
      </c>
      <c r="I209" s="272" t="e">
        <f t="shared" si="21"/>
        <v>#VALUE!</v>
      </c>
      <c r="J209" s="272">
        <f>SUM($H$18:$H209)</f>
        <v>0</v>
      </c>
    </row>
    <row r="210" spans="1:10" x14ac:dyDescent="0.2">
      <c r="A210" s="286" t="str">
        <f t="shared" si="22"/>
        <v/>
      </c>
      <c r="B210" s="270" t="str">
        <f t="shared" ref="B210:B273" si="27">IF(Pay_Num&lt;&gt;"",DATE(YEAR(Loan_Start),MONTH(Loan_Start)+(Pay_Num)*12/Num_Pmt_Per_Year,DAY(Loan_Start)),"")</f>
        <v/>
      </c>
      <c r="C210" s="272" t="str">
        <f t="shared" si="23"/>
        <v/>
      </c>
      <c r="D210" s="272" t="str">
        <f t="shared" si="26"/>
        <v/>
      </c>
      <c r="E210" s="273" t="e">
        <f t="shared" ref="E210:E273" si="28">IF(AND(Pay_Num&lt;&gt;"",Sched_Pay+Scheduled_Extra_Payments&lt;Beg_Bal),Scheduled_Extra_Payments,IF(AND(Pay_Num&lt;&gt;"",Beg_Bal-Sched_Pay&gt;0),Beg_Bal-Sched_Pay,IF(Pay_Num&lt;&gt;"",0,"")))</f>
        <v>#VALUE!</v>
      </c>
      <c r="F210" s="272" t="e">
        <f t="shared" ref="F210:F273" si="29">IF(AND(Pay_Num&lt;&gt;"",Sched_Pay+Extra_Pay&lt;Beg_Bal),Sched_Pay+Extra_Pay,IF(Pay_Num&lt;&gt;"",Beg_Bal,""))</f>
        <v>#VALUE!</v>
      </c>
      <c r="G210" s="272" t="str">
        <f t="shared" si="24"/>
        <v/>
      </c>
      <c r="H210" s="272" t="str">
        <f t="shared" si="25"/>
        <v/>
      </c>
      <c r="I210" s="272" t="e">
        <f t="shared" ref="I210:I273" si="30">IF(AND(Pay_Num&lt;&gt;"",Sched_Pay+Extra_Pay&lt;Beg_Bal),Beg_Bal-Princ,IF(Pay_Num&lt;&gt;"",0,""))</f>
        <v>#VALUE!</v>
      </c>
      <c r="J210" s="272">
        <f>SUM($H$18:$H210)</f>
        <v>0</v>
      </c>
    </row>
    <row r="211" spans="1:10" x14ac:dyDescent="0.2">
      <c r="A211" s="286" t="str">
        <f t="shared" ref="A211:A274" si="31">IF(Values_Entered,A210+1,"")</f>
        <v/>
      </c>
      <c r="B211" s="270" t="str">
        <f t="shared" si="27"/>
        <v/>
      </c>
      <c r="C211" s="272" t="str">
        <f t="shared" ref="C211:C274" si="32">IF(Pay_Num&lt;&gt;"",I210,"")</f>
        <v/>
      </c>
      <c r="D211" s="272" t="str">
        <f t="shared" si="26"/>
        <v/>
      </c>
      <c r="E211" s="273" t="e">
        <f t="shared" si="28"/>
        <v>#VALUE!</v>
      </c>
      <c r="F211" s="272" t="e">
        <f t="shared" si="29"/>
        <v>#VALUE!</v>
      </c>
      <c r="G211" s="272" t="str">
        <f t="shared" ref="G211:G274" si="33">IF(Pay_Num&lt;&gt;"",Total_Pay-Int,"")</f>
        <v/>
      </c>
      <c r="H211" s="272" t="str">
        <f t="shared" ref="H211:H274" si="34">IF(Pay_Num&lt;&gt;"",Beg_Bal*Interest_Rate/Num_Pmt_Per_Year,"")</f>
        <v/>
      </c>
      <c r="I211" s="272" t="e">
        <f t="shared" si="30"/>
        <v>#VALUE!</v>
      </c>
      <c r="J211" s="272">
        <f>SUM($H$18:$H211)</f>
        <v>0</v>
      </c>
    </row>
    <row r="212" spans="1:10" x14ac:dyDescent="0.2">
      <c r="A212" s="286" t="str">
        <f t="shared" si="31"/>
        <v/>
      </c>
      <c r="B212" s="270" t="str">
        <f t="shared" si="27"/>
        <v/>
      </c>
      <c r="C212" s="272" t="str">
        <f t="shared" si="32"/>
        <v/>
      </c>
      <c r="D212" s="272" t="str">
        <f t="shared" ref="D212:D275" si="35">IF(Pay_Num&lt;&gt;"",Scheduled_Monthly_Payment,"")</f>
        <v/>
      </c>
      <c r="E212" s="273" t="e">
        <f t="shared" si="28"/>
        <v>#VALUE!</v>
      </c>
      <c r="F212" s="272" t="e">
        <f t="shared" si="29"/>
        <v>#VALUE!</v>
      </c>
      <c r="G212" s="272" t="str">
        <f t="shared" si="33"/>
        <v/>
      </c>
      <c r="H212" s="272" t="str">
        <f t="shared" si="34"/>
        <v/>
      </c>
      <c r="I212" s="272" t="e">
        <f t="shared" si="30"/>
        <v>#VALUE!</v>
      </c>
      <c r="J212" s="272">
        <f>SUM($H$18:$H212)</f>
        <v>0</v>
      </c>
    </row>
    <row r="213" spans="1:10" x14ac:dyDescent="0.2">
      <c r="A213" s="286" t="str">
        <f t="shared" si="31"/>
        <v/>
      </c>
      <c r="B213" s="270" t="str">
        <f t="shared" si="27"/>
        <v/>
      </c>
      <c r="C213" s="272" t="str">
        <f t="shared" si="32"/>
        <v/>
      </c>
      <c r="D213" s="272" t="str">
        <f t="shared" si="35"/>
        <v/>
      </c>
      <c r="E213" s="273" t="e">
        <f t="shared" si="28"/>
        <v>#VALUE!</v>
      </c>
      <c r="F213" s="272" t="e">
        <f t="shared" si="29"/>
        <v>#VALUE!</v>
      </c>
      <c r="G213" s="272" t="str">
        <f t="shared" si="33"/>
        <v/>
      </c>
      <c r="H213" s="272" t="str">
        <f t="shared" si="34"/>
        <v/>
      </c>
      <c r="I213" s="272" t="e">
        <f t="shared" si="30"/>
        <v>#VALUE!</v>
      </c>
      <c r="J213" s="272">
        <f>SUM($H$18:$H213)</f>
        <v>0</v>
      </c>
    </row>
    <row r="214" spans="1:10" x14ac:dyDescent="0.2">
      <c r="A214" s="286" t="str">
        <f t="shared" si="31"/>
        <v/>
      </c>
      <c r="B214" s="270" t="str">
        <f t="shared" si="27"/>
        <v/>
      </c>
      <c r="C214" s="272" t="str">
        <f t="shared" si="32"/>
        <v/>
      </c>
      <c r="D214" s="272" t="str">
        <f t="shared" si="35"/>
        <v/>
      </c>
      <c r="E214" s="273" t="e">
        <f t="shared" si="28"/>
        <v>#VALUE!</v>
      </c>
      <c r="F214" s="272" t="e">
        <f t="shared" si="29"/>
        <v>#VALUE!</v>
      </c>
      <c r="G214" s="272" t="str">
        <f t="shared" si="33"/>
        <v/>
      </c>
      <c r="H214" s="272" t="str">
        <f t="shared" si="34"/>
        <v/>
      </c>
      <c r="I214" s="272" t="e">
        <f t="shared" si="30"/>
        <v>#VALUE!</v>
      </c>
      <c r="J214" s="272">
        <f>SUM($H$18:$H214)</f>
        <v>0</v>
      </c>
    </row>
    <row r="215" spans="1:10" x14ac:dyDescent="0.2">
      <c r="A215" s="286" t="str">
        <f t="shared" si="31"/>
        <v/>
      </c>
      <c r="B215" s="270" t="str">
        <f t="shared" si="27"/>
        <v/>
      </c>
      <c r="C215" s="272" t="str">
        <f t="shared" si="32"/>
        <v/>
      </c>
      <c r="D215" s="272" t="str">
        <f t="shared" si="35"/>
        <v/>
      </c>
      <c r="E215" s="273" t="e">
        <f t="shared" si="28"/>
        <v>#VALUE!</v>
      </c>
      <c r="F215" s="272" t="e">
        <f t="shared" si="29"/>
        <v>#VALUE!</v>
      </c>
      <c r="G215" s="272" t="str">
        <f t="shared" si="33"/>
        <v/>
      </c>
      <c r="H215" s="272" t="str">
        <f t="shared" si="34"/>
        <v/>
      </c>
      <c r="I215" s="272" t="e">
        <f t="shared" si="30"/>
        <v>#VALUE!</v>
      </c>
      <c r="J215" s="272">
        <f>SUM($H$18:$H215)</f>
        <v>0</v>
      </c>
    </row>
    <row r="216" spans="1:10" x14ac:dyDescent="0.2">
      <c r="A216" s="286" t="str">
        <f t="shared" si="31"/>
        <v/>
      </c>
      <c r="B216" s="270" t="str">
        <f t="shared" si="27"/>
        <v/>
      </c>
      <c r="C216" s="272" t="str">
        <f t="shared" si="32"/>
        <v/>
      </c>
      <c r="D216" s="272" t="str">
        <f t="shared" si="35"/>
        <v/>
      </c>
      <c r="E216" s="273" t="e">
        <f t="shared" si="28"/>
        <v>#VALUE!</v>
      </c>
      <c r="F216" s="272" t="e">
        <f t="shared" si="29"/>
        <v>#VALUE!</v>
      </c>
      <c r="G216" s="272" t="str">
        <f t="shared" si="33"/>
        <v/>
      </c>
      <c r="H216" s="272" t="str">
        <f t="shared" si="34"/>
        <v/>
      </c>
      <c r="I216" s="272" t="e">
        <f t="shared" si="30"/>
        <v>#VALUE!</v>
      </c>
      <c r="J216" s="272">
        <f>SUM($H$18:$H216)</f>
        <v>0</v>
      </c>
    </row>
    <row r="217" spans="1:10" x14ac:dyDescent="0.2">
      <c r="A217" s="286" t="str">
        <f t="shared" si="31"/>
        <v/>
      </c>
      <c r="B217" s="270" t="str">
        <f t="shared" si="27"/>
        <v/>
      </c>
      <c r="C217" s="272" t="str">
        <f t="shared" si="32"/>
        <v/>
      </c>
      <c r="D217" s="272" t="str">
        <f t="shared" si="35"/>
        <v/>
      </c>
      <c r="E217" s="273" t="e">
        <f t="shared" si="28"/>
        <v>#VALUE!</v>
      </c>
      <c r="F217" s="272" t="e">
        <f t="shared" si="29"/>
        <v>#VALUE!</v>
      </c>
      <c r="G217" s="272" t="str">
        <f t="shared" si="33"/>
        <v/>
      </c>
      <c r="H217" s="272" t="str">
        <f t="shared" si="34"/>
        <v/>
      </c>
      <c r="I217" s="272" t="e">
        <f t="shared" si="30"/>
        <v>#VALUE!</v>
      </c>
      <c r="J217" s="272">
        <f>SUM($H$18:$H217)</f>
        <v>0</v>
      </c>
    </row>
    <row r="218" spans="1:10" x14ac:dyDescent="0.2">
      <c r="A218" s="286" t="str">
        <f t="shared" si="31"/>
        <v/>
      </c>
      <c r="B218" s="270" t="str">
        <f t="shared" si="27"/>
        <v/>
      </c>
      <c r="C218" s="272" t="str">
        <f t="shared" si="32"/>
        <v/>
      </c>
      <c r="D218" s="272" t="str">
        <f t="shared" si="35"/>
        <v/>
      </c>
      <c r="E218" s="273" t="e">
        <f t="shared" si="28"/>
        <v>#VALUE!</v>
      </c>
      <c r="F218" s="272" t="e">
        <f t="shared" si="29"/>
        <v>#VALUE!</v>
      </c>
      <c r="G218" s="272" t="str">
        <f t="shared" si="33"/>
        <v/>
      </c>
      <c r="H218" s="272" t="str">
        <f t="shared" si="34"/>
        <v/>
      </c>
      <c r="I218" s="272" t="e">
        <f t="shared" si="30"/>
        <v>#VALUE!</v>
      </c>
      <c r="J218" s="272">
        <f>SUM($H$18:$H218)</f>
        <v>0</v>
      </c>
    </row>
    <row r="219" spans="1:10" x14ac:dyDescent="0.2">
      <c r="A219" s="286" t="str">
        <f t="shared" si="31"/>
        <v/>
      </c>
      <c r="B219" s="270" t="str">
        <f t="shared" si="27"/>
        <v/>
      </c>
      <c r="C219" s="272" t="str">
        <f t="shared" si="32"/>
        <v/>
      </c>
      <c r="D219" s="272" t="str">
        <f t="shared" si="35"/>
        <v/>
      </c>
      <c r="E219" s="273" t="e">
        <f t="shared" si="28"/>
        <v>#VALUE!</v>
      </c>
      <c r="F219" s="272" t="e">
        <f t="shared" si="29"/>
        <v>#VALUE!</v>
      </c>
      <c r="G219" s="272" t="str">
        <f t="shared" si="33"/>
        <v/>
      </c>
      <c r="H219" s="272" t="str">
        <f t="shared" si="34"/>
        <v/>
      </c>
      <c r="I219" s="272" t="e">
        <f t="shared" si="30"/>
        <v>#VALUE!</v>
      </c>
      <c r="J219" s="272">
        <f>SUM($H$18:$H219)</f>
        <v>0</v>
      </c>
    </row>
    <row r="220" spans="1:10" x14ac:dyDescent="0.2">
      <c r="A220" s="286" t="str">
        <f t="shared" si="31"/>
        <v/>
      </c>
      <c r="B220" s="270" t="str">
        <f t="shared" si="27"/>
        <v/>
      </c>
      <c r="C220" s="272" t="str">
        <f t="shared" si="32"/>
        <v/>
      </c>
      <c r="D220" s="272" t="str">
        <f t="shared" si="35"/>
        <v/>
      </c>
      <c r="E220" s="273" t="e">
        <f t="shared" si="28"/>
        <v>#VALUE!</v>
      </c>
      <c r="F220" s="272" t="e">
        <f t="shared" si="29"/>
        <v>#VALUE!</v>
      </c>
      <c r="G220" s="272" t="str">
        <f t="shared" si="33"/>
        <v/>
      </c>
      <c r="H220" s="272" t="str">
        <f t="shared" si="34"/>
        <v/>
      </c>
      <c r="I220" s="272" t="e">
        <f t="shared" si="30"/>
        <v>#VALUE!</v>
      </c>
      <c r="J220" s="272">
        <f>SUM($H$18:$H220)</f>
        <v>0</v>
      </c>
    </row>
    <row r="221" spans="1:10" x14ac:dyDescent="0.2">
      <c r="A221" s="286" t="str">
        <f t="shared" si="31"/>
        <v/>
      </c>
      <c r="B221" s="270" t="str">
        <f t="shared" si="27"/>
        <v/>
      </c>
      <c r="C221" s="272" t="str">
        <f t="shared" si="32"/>
        <v/>
      </c>
      <c r="D221" s="272" t="str">
        <f t="shared" si="35"/>
        <v/>
      </c>
      <c r="E221" s="273" t="e">
        <f t="shared" si="28"/>
        <v>#VALUE!</v>
      </c>
      <c r="F221" s="272" t="e">
        <f t="shared" si="29"/>
        <v>#VALUE!</v>
      </c>
      <c r="G221" s="272" t="str">
        <f t="shared" si="33"/>
        <v/>
      </c>
      <c r="H221" s="272" t="str">
        <f t="shared" si="34"/>
        <v/>
      </c>
      <c r="I221" s="272" t="e">
        <f t="shared" si="30"/>
        <v>#VALUE!</v>
      </c>
      <c r="J221" s="272">
        <f>SUM($H$18:$H221)</f>
        <v>0</v>
      </c>
    </row>
    <row r="222" spans="1:10" x14ac:dyDescent="0.2">
      <c r="A222" s="286" t="str">
        <f t="shared" si="31"/>
        <v/>
      </c>
      <c r="B222" s="270" t="str">
        <f t="shared" si="27"/>
        <v/>
      </c>
      <c r="C222" s="272" t="str">
        <f t="shared" si="32"/>
        <v/>
      </c>
      <c r="D222" s="272" t="str">
        <f t="shared" si="35"/>
        <v/>
      </c>
      <c r="E222" s="273" t="e">
        <f t="shared" si="28"/>
        <v>#VALUE!</v>
      </c>
      <c r="F222" s="272" t="e">
        <f t="shared" si="29"/>
        <v>#VALUE!</v>
      </c>
      <c r="G222" s="272" t="str">
        <f t="shared" si="33"/>
        <v/>
      </c>
      <c r="H222" s="272" t="str">
        <f t="shared" si="34"/>
        <v/>
      </c>
      <c r="I222" s="272" t="e">
        <f t="shared" si="30"/>
        <v>#VALUE!</v>
      </c>
      <c r="J222" s="272">
        <f>SUM($H$18:$H222)</f>
        <v>0</v>
      </c>
    </row>
    <row r="223" spans="1:10" x14ac:dyDescent="0.2">
      <c r="A223" s="286" t="str">
        <f t="shared" si="31"/>
        <v/>
      </c>
      <c r="B223" s="270" t="str">
        <f t="shared" si="27"/>
        <v/>
      </c>
      <c r="C223" s="272" t="str">
        <f t="shared" si="32"/>
        <v/>
      </c>
      <c r="D223" s="272" t="str">
        <f t="shared" si="35"/>
        <v/>
      </c>
      <c r="E223" s="273" t="e">
        <f t="shared" si="28"/>
        <v>#VALUE!</v>
      </c>
      <c r="F223" s="272" t="e">
        <f t="shared" si="29"/>
        <v>#VALUE!</v>
      </c>
      <c r="G223" s="272" t="str">
        <f t="shared" si="33"/>
        <v/>
      </c>
      <c r="H223" s="272" t="str">
        <f t="shared" si="34"/>
        <v/>
      </c>
      <c r="I223" s="272" t="e">
        <f t="shared" si="30"/>
        <v>#VALUE!</v>
      </c>
      <c r="J223" s="272">
        <f>SUM($H$18:$H223)</f>
        <v>0</v>
      </c>
    </row>
    <row r="224" spans="1:10" x14ac:dyDescent="0.2">
      <c r="A224" s="286" t="str">
        <f t="shared" si="31"/>
        <v/>
      </c>
      <c r="B224" s="270" t="str">
        <f t="shared" si="27"/>
        <v/>
      </c>
      <c r="C224" s="272" t="str">
        <f t="shared" si="32"/>
        <v/>
      </c>
      <c r="D224" s="272" t="str">
        <f t="shared" si="35"/>
        <v/>
      </c>
      <c r="E224" s="273" t="e">
        <f t="shared" si="28"/>
        <v>#VALUE!</v>
      </c>
      <c r="F224" s="272" t="e">
        <f t="shared" si="29"/>
        <v>#VALUE!</v>
      </c>
      <c r="G224" s="272" t="str">
        <f t="shared" si="33"/>
        <v/>
      </c>
      <c r="H224" s="272" t="str">
        <f t="shared" si="34"/>
        <v/>
      </c>
      <c r="I224" s="272" t="e">
        <f t="shared" si="30"/>
        <v>#VALUE!</v>
      </c>
      <c r="J224" s="272">
        <f>SUM($H$18:$H224)</f>
        <v>0</v>
      </c>
    </row>
    <row r="225" spans="1:10" x14ac:dyDescent="0.2">
      <c r="A225" s="286" t="str">
        <f t="shared" si="31"/>
        <v/>
      </c>
      <c r="B225" s="270" t="str">
        <f t="shared" si="27"/>
        <v/>
      </c>
      <c r="C225" s="272" t="str">
        <f t="shared" si="32"/>
        <v/>
      </c>
      <c r="D225" s="272" t="str">
        <f t="shared" si="35"/>
        <v/>
      </c>
      <c r="E225" s="273" t="e">
        <f t="shared" si="28"/>
        <v>#VALUE!</v>
      </c>
      <c r="F225" s="272" t="e">
        <f t="shared" si="29"/>
        <v>#VALUE!</v>
      </c>
      <c r="G225" s="272" t="str">
        <f t="shared" si="33"/>
        <v/>
      </c>
      <c r="H225" s="272" t="str">
        <f t="shared" si="34"/>
        <v/>
      </c>
      <c r="I225" s="272" t="e">
        <f t="shared" si="30"/>
        <v>#VALUE!</v>
      </c>
      <c r="J225" s="272">
        <f>SUM($H$18:$H225)</f>
        <v>0</v>
      </c>
    </row>
    <row r="226" spans="1:10" x14ac:dyDescent="0.2">
      <c r="A226" s="286" t="str">
        <f t="shared" si="31"/>
        <v/>
      </c>
      <c r="B226" s="270" t="str">
        <f t="shared" si="27"/>
        <v/>
      </c>
      <c r="C226" s="272" t="str">
        <f t="shared" si="32"/>
        <v/>
      </c>
      <c r="D226" s="272" t="str">
        <f t="shared" si="35"/>
        <v/>
      </c>
      <c r="E226" s="273" t="e">
        <f t="shared" si="28"/>
        <v>#VALUE!</v>
      </c>
      <c r="F226" s="272" t="e">
        <f t="shared" si="29"/>
        <v>#VALUE!</v>
      </c>
      <c r="G226" s="272" t="str">
        <f t="shared" si="33"/>
        <v/>
      </c>
      <c r="H226" s="272" t="str">
        <f t="shared" si="34"/>
        <v/>
      </c>
      <c r="I226" s="272" t="e">
        <f t="shared" si="30"/>
        <v>#VALUE!</v>
      </c>
      <c r="J226" s="272">
        <f>SUM($H$18:$H226)</f>
        <v>0</v>
      </c>
    </row>
    <row r="227" spans="1:10" x14ac:dyDescent="0.2">
      <c r="A227" s="286" t="str">
        <f t="shared" si="31"/>
        <v/>
      </c>
      <c r="B227" s="270" t="str">
        <f t="shared" si="27"/>
        <v/>
      </c>
      <c r="C227" s="272" t="str">
        <f t="shared" si="32"/>
        <v/>
      </c>
      <c r="D227" s="272" t="str">
        <f t="shared" si="35"/>
        <v/>
      </c>
      <c r="E227" s="273" t="e">
        <f t="shared" si="28"/>
        <v>#VALUE!</v>
      </c>
      <c r="F227" s="272" t="e">
        <f t="shared" si="29"/>
        <v>#VALUE!</v>
      </c>
      <c r="G227" s="272" t="str">
        <f t="shared" si="33"/>
        <v/>
      </c>
      <c r="H227" s="272" t="str">
        <f t="shared" si="34"/>
        <v/>
      </c>
      <c r="I227" s="272" t="e">
        <f t="shared" si="30"/>
        <v>#VALUE!</v>
      </c>
      <c r="J227" s="272">
        <f>SUM($H$18:$H227)</f>
        <v>0</v>
      </c>
    </row>
    <row r="228" spans="1:10" x14ac:dyDescent="0.2">
      <c r="A228" s="286" t="str">
        <f t="shared" si="31"/>
        <v/>
      </c>
      <c r="B228" s="270" t="str">
        <f t="shared" si="27"/>
        <v/>
      </c>
      <c r="C228" s="272" t="str">
        <f t="shared" si="32"/>
        <v/>
      </c>
      <c r="D228" s="272" t="str">
        <f t="shared" si="35"/>
        <v/>
      </c>
      <c r="E228" s="273" t="e">
        <f t="shared" si="28"/>
        <v>#VALUE!</v>
      </c>
      <c r="F228" s="272" t="e">
        <f t="shared" si="29"/>
        <v>#VALUE!</v>
      </c>
      <c r="G228" s="272" t="str">
        <f t="shared" si="33"/>
        <v/>
      </c>
      <c r="H228" s="272" t="str">
        <f t="shared" si="34"/>
        <v/>
      </c>
      <c r="I228" s="272" t="e">
        <f t="shared" si="30"/>
        <v>#VALUE!</v>
      </c>
      <c r="J228" s="272">
        <f>SUM($H$18:$H228)</f>
        <v>0</v>
      </c>
    </row>
    <row r="229" spans="1:10" x14ac:dyDescent="0.2">
      <c r="A229" s="286" t="str">
        <f t="shared" si="31"/>
        <v/>
      </c>
      <c r="B229" s="270" t="str">
        <f t="shared" si="27"/>
        <v/>
      </c>
      <c r="C229" s="272" t="str">
        <f t="shared" si="32"/>
        <v/>
      </c>
      <c r="D229" s="272" t="str">
        <f t="shared" si="35"/>
        <v/>
      </c>
      <c r="E229" s="273" t="e">
        <f t="shared" si="28"/>
        <v>#VALUE!</v>
      </c>
      <c r="F229" s="272" t="e">
        <f t="shared" si="29"/>
        <v>#VALUE!</v>
      </c>
      <c r="G229" s="272" t="str">
        <f t="shared" si="33"/>
        <v/>
      </c>
      <c r="H229" s="272" t="str">
        <f t="shared" si="34"/>
        <v/>
      </c>
      <c r="I229" s="272" t="e">
        <f t="shared" si="30"/>
        <v>#VALUE!</v>
      </c>
      <c r="J229" s="272">
        <f>SUM($H$18:$H229)</f>
        <v>0</v>
      </c>
    </row>
    <row r="230" spans="1:10" x14ac:dyDescent="0.2">
      <c r="A230" s="286" t="str">
        <f t="shared" si="31"/>
        <v/>
      </c>
      <c r="B230" s="270" t="str">
        <f t="shared" si="27"/>
        <v/>
      </c>
      <c r="C230" s="272" t="str">
        <f t="shared" si="32"/>
        <v/>
      </c>
      <c r="D230" s="272" t="str">
        <f t="shared" si="35"/>
        <v/>
      </c>
      <c r="E230" s="273" t="e">
        <f t="shared" si="28"/>
        <v>#VALUE!</v>
      </c>
      <c r="F230" s="272" t="e">
        <f t="shared" si="29"/>
        <v>#VALUE!</v>
      </c>
      <c r="G230" s="272" t="str">
        <f t="shared" si="33"/>
        <v/>
      </c>
      <c r="H230" s="272" t="str">
        <f t="shared" si="34"/>
        <v/>
      </c>
      <c r="I230" s="272" t="e">
        <f t="shared" si="30"/>
        <v>#VALUE!</v>
      </c>
      <c r="J230" s="272">
        <f>SUM($H$18:$H230)</f>
        <v>0</v>
      </c>
    </row>
    <row r="231" spans="1:10" x14ac:dyDescent="0.2">
      <c r="A231" s="286" t="str">
        <f t="shared" si="31"/>
        <v/>
      </c>
      <c r="B231" s="270" t="str">
        <f t="shared" si="27"/>
        <v/>
      </c>
      <c r="C231" s="272" t="str">
        <f t="shared" si="32"/>
        <v/>
      </c>
      <c r="D231" s="272" t="str">
        <f t="shared" si="35"/>
        <v/>
      </c>
      <c r="E231" s="273" t="e">
        <f t="shared" si="28"/>
        <v>#VALUE!</v>
      </c>
      <c r="F231" s="272" t="e">
        <f t="shared" si="29"/>
        <v>#VALUE!</v>
      </c>
      <c r="G231" s="272" t="str">
        <f t="shared" si="33"/>
        <v/>
      </c>
      <c r="H231" s="272" t="str">
        <f t="shared" si="34"/>
        <v/>
      </c>
      <c r="I231" s="272" t="e">
        <f t="shared" si="30"/>
        <v>#VALUE!</v>
      </c>
      <c r="J231" s="272">
        <f>SUM($H$18:$H231)</f>
        <v>0</v>
      </c>
    </row>
    <row r="232" spans="1:10" x14ac:dyDescent="0.2">
      <c r="A232" s="286" t="str">
        <f t="shared" si="31"/>
        <v/>
      </c>
      <c r="B232" s="270" t="str">
        <f t="shared" si="27"/>
        <v/>
      </c>
      <c r="C232" s="272" t="str">
        <f t="shared" si="32"/>
        <v/>
      </c>
      <c r="D232" s="272" t="str">
        <f t="shared" si="35"/>
        <v/>
      </c>
      <c r="E232" s="273" t="e">
        <f t="shared" si="28"/>
        <v>#VALUE!</v>
      </c>
      <c r="F232" s="272" t="e">
        <f t="shared" si="29"/>
        <v>#VALUE!</v>
      </c>
      <c r="G232" s="272" t="str">
        <f t="shared" si="33"/>
        <v/>
      </c>
      <c r="H232" s="272" t="str">
        <f t="shared" si="34"/>
        <v/>
      </c>
      <c r="I232" s="272" t="e">
        <f t="shared" si="30"/>
        <v>#VALUE!</v>
      </c>
      <c r="J232" s="272">
        <f>SUM($H$18:$H232)</f>
        <v>0</v>
      </c>
    </row>
    <row r="233" spans="1:10" x14ac:dyDescent="0.2">
      <c r="A233" s="286" t="str">
        <f t="shared" si="31"/>
        <v/>
      </c>
      <c r="B233" s="270" t="str">
        <f t="shared" si="27"/>
        <v/>
      </c>
      <c r="C233" s="272" t="str">
        <f t="shared" si="32"/>
        <v/>
      </c>
      <c r="D233" s="272" t="str">
        <f t="shared" si="35"/>
        <v/>
      </c>
      <c r="E233" s="273" t="e">
        <f t="shared" si="28"/>
        <v>#VALUE!</v>
      </c>
      <c r="F233" s="272" t="e">
        <f t="shared" si="29"/>
        <v>#VALUE!</v>
      </c>
      <c r="G233" s="272" t="str">
        <f t="shared" si="33"/>
        <v/>
      </c>
      <c r="H233" s="272" t="str">
        <f t="shared" si="34"/>
        <v/>
      </c>
      <c r="I233" s="272" t="e">
        <f t="shared" si="30"/>
        <v>#VALUE!</v>
      </c>
      <c r="J233" s="272">
        <f>SUM($H$18:$H233)</f>
        <v>0</v>
      </c>
    </row>
    <row r="234" spans="1:10" x14ac:dyDescent="0.2">
      <c r="A234" s="286" t="str">
        <f t="shared" si="31"/>
        <v/>
      </c>
      <c r="B234" s="270" t="str">
        <f t="shared" si="27"/>
        <v/>
      </c>
      <c r="C234" s="272" t="str">
        <f t="shared" si="32"/>
        <v/>
      </c>
      <c r="D234" s="272" t="str">
        <f t="shared" si="35"/>
        <v/>
      </c>
      <c r="E234" s="273" t="e">
        <f t="shared" si="28"/>
        <v>#VALUE!</v>
      </c>
      <c r="F234" s="272" t="e">
        <f t="shared" si="29"/>
        <v>#VALUE!</v>
      </c>
      <c r="G234" s="272" t="str">
        <f t="shared" si="33"/>
        <v/>
      </c>
      <c r="H234" s="272" t="str">
        <f t="shared" si="34"/>
        <v/>
      </c>
      <c r="I234" s="272" t="e">
        <f t="shared" si="30"/>
        <v>#VALUE!</v>
      </c>
      <c r="J234" s="272">
        <f>SUM($H$18:$H234)</f>
        <v>0</v>
      </c>
    </row>
    <row r="235" spans="1:10" x14ac:dyDescent="0.2">
      <c r="A235" s="286" t="str">
        <f t="shared" si="31"/>
        <v/>
      </c>
      <c r="B235" s="270" t="str">
        <f t="shared" si="27"/>
        <v/>
      </c>
      <c r="C235" s="272" t="str">
        <f t="shared" si="32"/>
        <v/>
      </c>
      <c r="D235" s="272" t="str">
        <f t="shared" si="35"/>
        <v/>
      </c>
      <c r="E235" s="273" t="e">
        <f t="shared" si="28"/>
        <v>#VALUE!</v>
      </c>
      <c r="F235" s="272" t="e">
        <f t="shared" si="29"/>
        <v>#VALUE!</v>
      </c>
      <c r="G235" s="272" t="str">
        <f t="shared" si="33"/>
        <v/>
      </c>
      <c r="H235" s="272" t="str">
        <f t="shared" si="34"/>
        <v/>
      </c>
      <c r="I235" s="272" t="e">
        <f t="shared" si="30"/>
        <v>#VALUE!</v>
      </c>
      <c r="J235" s="272">
        <f>SUM($H$18:$H235)</f>
        <v>0</v>
      </c>
    </row>
    <row r="236" spans="1:10" x14ac:dyDescent="0.2">
      <c r="A236" s="286" t="str">
        <f t="shared" si="31"/>
        <v/>
      </c>
      <c r="B236" s="270" t="str">
        <f t="shared" si="27"/>
        <v/>
      </c>
      <c r="C236" s="272" t="str">
        <f t="shared" si="32"/>
        <v/>
      </c>
      <c r="D236" s="272" t="str">
        <f t="shared" si="35"/>
        <v/>
      </c>
      <c r="E236" s="273" t="e">
        <f t="shared" si="28"/>
        <v>#VALUE!</v>
      </c>
      <c r="F236" s="272" t="e">
        <f t="shared" si="29"/>
        <v>#VALUE!</v>
      </c>
      <c r="G236" s="272" t="str">
        <f t="shared" si="33"/>
        <v/>
      </c>
      <c r="H236" s="272" t="str">
        <f t="shared" si="34"/>
        <v/>
      </c>
      <c r="I236" s="272" t="e">
        <f t="shared" si="30"/>
        <v>#VALUE!</v>
      </c>
      <c r="J236" s="272">
        <f>SUM($H$18:$H236)</f>
        <v>0</v>
      </c>
    </row>
    <row r="237" spans="1:10" x14ac:dyDescent="0.2">
      <c r="A237" s="286" t="str">
        <f t="shared" si="31"/>
        <v/>
      </c>
      <c r="B237" s="270" t="str">
        <f t="shared" si="27"/>
        <v/>
      </c>
      <c r="C237" s="272" t="str">
        <f t="shared" si="32"/>
        <v/>
      </c>
      <c r="D237" s="272" t="str">
        <f t="shared" si="35"/>
        <v/>
      </c>
      <c r="E237" s="273" t="e">
        <f t="shared" si="28"/>
        <v>#VALUE!</v>
      </c>
      <c r="F237" s="272" t="e">
        <f t="shared" si="29"/>
        <v>#VALUE!</v>
      </c>
      <c r="G237" s="272" t="str">
        <f t="shared" si="33"/>
        <v/>
      </c>
      <c r="H237" s="272" t="str">
        <f t="shared" si="34"/>
        <v/>
      </c>
      <c r="I237" s="272" t="e">
        <f t="shared" si="30"/>
        <v>#VALUE!</v>
      </c>
      <c r="J237" s="272">
        <f>SUM($H$18:$H237)</f>
        <v>0</v>
      </c>
    </row>
    <row r="238" spans="1:10" x14ac:dyDescent="0.2">
      <c r="A238" s="286" t="str">
        <f t="shared" si="31"/>
        <v/>
      </c>
      <c r="B238" s="270" t="str">
        <f t="shared" si="27"/>
        <v/>
      </c>
      <c r="C238" s="272" t="str">
        <f t="shared" si="32"/>
        <v/>
      </c>
      <c r="D238" s="272" t="str">
        <f t="shared" si="35"/>
        <v/>
      </c>
      <c r="E238" s="273" t="e">
        <f t="shared" si="28"/>
        <v>#VALUE!</v>
      </c>
      <c r="F238" s="272" t="e">
        <f t="shared" si="29"/>
        <v>#VALUE!</v>
      </c>
      <c r="G238" s="272" t="str">
        <f t="shared" si="33"/>
        <v/>
      </c>
      <c r="H238" s="272" t="str">
        <f t="shared" si="34"/>
        <v/>
      </c>
      <c r="I238" s="272" t="e">
        <f t="shared" si="30"/>
        <v>#VALUE!</v>
      </c>
      <c r="J238" s="272">
        <f>SUM($H$18:$H238)</f>
        <v>0</v>
      </c>
    </row>
    <row r="239" spans="1:10" x14ac:dyDescent="0.2">
      <c r="A239" s="286" t="str">
        <f t="shared" si="31"/>
        <v/>
      </c>
      <c r="B239" s="270" t="str">
        <f t="shared" si="27"/>
        <v/>
      </c>
      <c r="C239" s="272" t="str">
        <f t="shared" si="32"/>
        <v/>
      </c>
      <c r="D239" s="272" t="str">
        <f t="shared" si="35"/>
        <v/>
      </c>
      <c r="E239" s="273" t="e">
        <f t="shared" si="28"/>
        <v>#VALUE!</v>
      </c>
      <c r="F239" s="272" t="e">
        <f t="shared" si="29"/>
        <v>#VALUE!</v>
      </c>
      <c r="G239" s="272" t="str">
        <f t="shared" si="33"/>
        <v/>
      </c>
      <c r="H239" s="272" t="str">
        <f t="shared" si="34"/>
        <v/>
      </c>
      <c r="I239" s="272" t="e">
        <f t="shared" si="30"/>
        <v>#VALUE!</v>
      </c>
      <c r="J239" s="272">
        <f>SUM($H$18:$H239)</f>
        <v>0</v>
      </c>
    </row>
    <row r="240" spans="1:10" x14ac:dyDescent="0.2">
      <c r="A240" s="286" t="str">
        <f t="shared" si="31"/>
        <v/>
      </c>
      <c r="B240" s="270" t="str">
        <f t="shared" si="27"/>
        <v/>
      </c>
      <c r="C240" s="272" t="str">
        <f t="shared" si="32"/>
        <v/>
      </c>
      <c r="D240" s="272" t="str">
        <f t="shared" si="35"/>
        <v/>
      </c>
      <c r="E240" s="273" t="e">
        <f t="shared" si="28"/>
        <v>#VALUE!</v>
      </c>
      <c r="F240" s="272" t="e">
        <f t="shared" si="29"/>
        <v>#VALUE!</v>
      </c>
      <c r="G240" s="272" t="str">
        <f t="shared" si="33"/>
        <v/>
      </c>
      <c r="H240" s="272" t="str">
        <f t="shared" si="34"/>
        <v/>
      </c>
      <c r="I240" s="272" t="e">
        <f t="shared" si="30"/>
        <v>#VALUE!</v>
      </c>
      <c r="J240" s="272">
        <f>SUM($H$18:$H240)</f>
        <v>0</v>
      </c>
    </row>
    <row r="241" spans="1:10" x14ac:dyDescent="0.2">
      <c r="A241" s="286" t="str">
        <f t="shared" si="31"/>
        <v/>
      </c>
      <c r="B241" s="270" t="str">
        <f t="shared" si="27"/>
        <v/>
      </c>
      <c r="C241" s="272" t="str">
        <f t="shared" si="32"/>
        <v/>
      </c>
      <c r="D241" s="272" t="str">
        <f t="shared" si="35"/>
        <v/>
      </c>
      <c r="E241" s="273" t="e">
        <f t="shared" si="28"/>
        <v>#VALUE!</v>
      </c>
      <c r="F241" s="272" t="e">
        <f t="shared" si="29"/>
        <v>#VALUE!</v>
      </c>
      <c r="G241" s="272" t="str">
        <f t="shared" si="33"/>
        <v/>
      </c>
      <c r="H241" s="272" t="str">
        <f t="shared" si="34"/>
        <v/>
      </c>
      <c r="I241" s="272" t="e">
        <f t="shared" si="30"/>
        <v>#VALUE!</v>
      </c>
      <c r="J241" s="272">
        <f>SUM($H$18:$H241)</f>
        <v>0</v>
      </c>
    </row>
    <row r="242" spans="1:10" x14ac:dyDescent="0.2">
      <c r="A242" s="286" t="str">
        <f t="shared" si="31"/>
        <v/>
      </c>
      <c r="B242" s="270" t="str">
        <f t="shared" si="27"/>
        <v/>
      </c>
      <c r="C242" s="272" t="str">
        <f t="shared" si="32"/>
        <v/>
      </c>
      <c r="D242" s="272" t="str">
        <f t="shared" si="35"/>
        <v/>
      </c>
      <c r="E242" s="273" t="e">
        <f t="shared" si="28"/>
        <v>#VALUE!</v>
      </c>
      <c r="F242" s="272" t="e">
        <f t="shared" si="29"/>
        <v>#VALUE!</v>
      </c>
      <c r="G242" s="272" t="str">
        <f t="shared" si="33"/>
        <v/>
      </c>
      <c r="H242" s="272" t="str">
        <f t="shared" si="34"/>
        <v/>
      </c>
      <c r="I242" s="272" t="e">
        <f t="shared" si="30"/>
        <v>#VALUE!</v>
      </c>
      <c r="J242" s="272">
        <f>SUM($H$18:$H242)</f>
        <v>0</v>
      </c>
    </row>
    <row r="243" spans="1:10" x14ac:dyDescent="0.2">
      <c r="A243" s="286" t="str">
        <f t="shared" si="31"/>
        <v/>
      </c>
      <c r="B243" s="270" t="str">
        <f t="shared" si="27"/>
        <v/>
      </c>
      <c r="C243" s="272" t="str">
        <f t="shared" si="32"/>
        <v/>
      </c>
      <c r="D243" s="272" t="str">
        <f t="shared" si="35"/>
        <v/>
      </c>
      <c r="E243" s="273" t="e">
        <f t="shared" si="28"/>
        <v>#VALUE!</v>
      </c>
      <c r="F243" s="272" t="e">
        <f t="shared" si="29"/>
        <v>#VALUE!</v>
      </c>
      <c r="G243" s="272" t="str">
        <f t="shared" si="33"/>
        <v/>
      </c>
      <c r="H243" s="272" t="str">
        <f t="shared" si="34"/>
        <v/>
      </c>
      <c r="I243" s="272" t="e">
        <f t="shared" si="30"/>
        <v>#VALUE!</v>
      </c>
      <c r="J243" s="272">
        <f>SUM($H$18:$H243)</f>
        <v>0</v>
      </c>
    </row>
    <row r="244" spans="1:10" x14ac:dyDescent="0.2">
      <c r="A244" s="286" t="str">
        <f t="shared" si="31"/>
        <v/>
      </c>
      <c r="B244" s="270" t="str">
        <f t="shared" si="27"/>
        <v/>
      </c>
      <c r="C244" s="272" t="str">
        <f t="shared" si="32"/>
        <v/>
      </c>
      <c r="D244" s="272" t="str">
        <f t="shared" si="35"/>
        <v/>
      </c>
      <c r="E244" s="273" t="e">
        <f t="shared" si="28"/>
        <v>#VALUE!</v>
      </c>
      <c r="F244" s="272" t="e">
        <f t="shared" si="29"/>
        <v>#VALUE!</v>
      </c>
      <c r="G244" s="272" t="str">
        <f t="shared" si="33"/>
        <v/>
      </c>
      <c r="H244" s="272" t="str">
        <f t="shared" si="34"/>
        <v/>
      </c>
      <c r="I244" s="272" t="e">
        <f t="shared" si="30"/>
        <v>#VALUE!</v>
      </c>
      <c r="J244" s="272">
        <f>SUM($H$18:$H244)</f>
        <v>0</v>
      </c>
    </row>
    <row r="245" spans="1:10" x14ac:dyDescent="0.2">
      <c r="A245" s="286" t="str">
        <f t="shared" si="31"/>
        <v/>
      </c>
      <c r="B245" s="270" t="str">
        <f t="shared" si="27"/>
        <v/>
      </c>
      <c r="C245" s="272" t="str">
        <f t="shared" si="32"/>
        <v/>
      </c>
      <c r="D245" s="272" t="str">
        <f t="shared" si="35"/>
        <v/>
      </c>
      <c r="E245" s="273" t="e">
        <f t="shared" si="28"/>
        <v>#VALUE!</v>
      </c>
      <c r="F245" s="272" t="e">
        <f t="shared" si="29"/>
        <v>#VALUE!</v>
      </c>
      <c r="G245" s="272" t="str">
        <f t="shared" si="33"/>
        <v/>
      </c>
      <c r="H245" s="272" t="str">
        <f t="shared" si="34"/>
        <v/>
      </c>
      <c r="I245" s="272" t="e">
        <f t="shared" si="30"/>
        <v>#VALUE!</v>
      </c>
      <c r="J245" s="272">
        <f>SUM($H$18:$H245)</f>
        <v>0</v>
      </c>
    </row>
    <row r="246" spans="1:10" x14ac:dyDescent="0.2">
      <c r="A246" s="286" t="str">
        <f t="shared" si="31"/>
        <v/>
      </c>
      <c r="B246" s="270" t="str">
        <f t="shared" si="27"/>
        <v/>
      </c>
      <c r="C246" s="272" t="str">
        <f t="shared" si="32"/>
        <v/>
      </c>
      <c r="D246" s="272" t="str">
        <f t="shared" si="35"/>
        <v/>
      </c>
      <c r="E246" s="273" t="e">
        <f t="shared" si="28"/>
        <v>#VALUE!</v>
      </c>
      <c r="F246" s="272" t="e">
        <f t="shared" si="29"/>
        <v>#VALUE!</v>
      </c>
      <c r="G246" s="272" t="str">
        <f t="shared" si="33"/>
        <v/>
      </c>
      <c r="H246" s="272" t="str">
        <f t="shared" si="34"/>
        <v/>
      </c>
      <c r="I246" s="272" t="e">
        <f t="shared" si="30"/>
        <v>#VALUE!</v>
      </c>
      <c r="J246" s="272">
        <f>SUM($H$18:$H246)</f>
        <v>0</v>
      </c>
    </row>
    <row r="247" spans="1:10" x14ac:dyDescent="0.2">
      <c r="A247" s="286" t="str">
        <f t="shared" si="31"/>
        <v/>
      </c>
      <c r="B247" s="270" t="str">
        <f t="shared" si="27"/>
        <v/>
      </c>
      <c r="C247" s="272" t="str">
        <f t="shared" si="32"/>
        <v/>
      </c>
      <c r="D247" s="272" t="str">
        <f t="shared" si="35"/>
        <v/>
      </c>
      <c r="E247" s="273" t="e">
        <f t="shared" si="28"/>
        <v>#VALUE!</v>
      </c>
      <c r="F247" s="272" t="e">
        <f t="shared" si="29"/>
        <v>#VALUE!</v>
      </c>
      <c r="G247" s="272" t="str">
        <f t="shared" si="33"/>
        <v/>
      </c>
      <c r="H247" s="272" t="str">
        <f t="shared" si="34"/>
        <v/>
      </c>
      <c r="I247" s="272" t="e">
        <f t="shared" si="30"/>
        <v>#VALUE!</v>
      </c>
      <c r="J247" s="272">
        <f>SUM($H$18:$H247)</f>
        <v>0</v>
      </c>
    </row>
    <row r="248" spans="1:10" x14ac:dyDescent="0.2">
      <c r="A248" s="286" t="str">
        <f t="shared" si="31"/>
        <v/>
      </c>
      <c r="B248" s="270" t="str">
        <f t="shared" si="27"/>
        <v/>
      </c>
      <c r="C248" s="272" t="str">
        <f t="shared" si="32"/>
        <v/>
      </c>
      <c r="D248" s="272" t="str">
        <f t="shared" si="35"/>
        <v/>
      </c>
      <c r="E248" s="273" t="e">
        <f t="shared" si="28"/>
        <v>#VALUE!</v>
      </c>
      <c r="F248" s="272" t="e">
        <f t="shared" si="29"/>
        <v>#VALUE!</v>
      </c>
      <c r="G248" s="272" t="str">
        <f t="shared" si="33"/>
        <v/>
      </c>
      <c r="H248" s="272" t="str">
        <f t="shared" si="34"/>
        <v/>
      </c>
      <c r="I248" s="272" t="e">
        <f t="shared" si="30"/>
        <v>#VALUE!</v>
      </c>
      <c r="J248" s="272">
        <f>SUM($H$18:$H248)</f>
        <v>0</v>
      </c>
    </row>
    <row r="249" spans="1:10" x14ac:dyDescent="0.2">
      <c r="A249" s="286" t="str">
        <f t="shared" si="31"/>
        <v/>
      </c>
      <c r="B249" s="270" t="str">
        <f t="shared" si="27"/>
        <v/>
      </c>
      <c r="C249" s="272" t="str">
        <f t="shared" si="32"/>
        <v/>
      </c>
      <c r="D249" s="272" t="str">
        <f t="shared" si="35"/>
        <v/>
      </c>
      <c r="E249" s="273" t="e">
        <f t="shared" si="28"/>
        <v>#VALUE!</v>
      </c>
      <c r="F249" s="272" t="e">
        <f t="shared" si="29"/>
        <v>#VALUE!</v>
      </c>
      <c r="G249" s="272" t="str">
        <f t="shared" si="33"/>
        <v/>
      </c>
      <c r="H249" s="272" t="str">
        <f t="shared" si="34"/>
        <v/>
      </c>
      <c r="I249" s="272" t="e">
        <f t="shared" si="30"/>
        <v>#VALUE!</v>
      </c>
      <c r="J249" s="272">
        <f>SUM($H$18:$H249)</f>
        <v>0</v>
      </c>
    </row>
    <row r="250" spans="1:10" x14ac:dyDescent="0.2">
      <c r="A250" s="286" t="str">
        <f t="shared" si="31"/>
        <v/>
      </c>
      <c r="B250" s="270" t="str">
        <f t="shared" si="27"/>
        <v/>
      </c>
      <c r="C250" s="272" t="str">
        <f t="shared" si="32"/>
        <v/>
      </c>
      <c r="D250" s="272" t="str">
        <f t="shared" si="35"/>
        <v/>
      </c>
      <c r="E250" s="273" t="e">
        <f t="shared" si="28"/>
        <v>#VALUE!</v>
      </c>
      <c r="F250" s="272" t="e">
        <f t="shared" si="29"/>
        <v>#VALUE!</v>
      </c>
      <c r="G250" s="272" t="str">
        <f t="shared" si="33"/>
        <v/>
      </c>
      <c r="H250" s="272" t="str">
        <f t="shared" si="34"/>
        <v/>
      </c>
      <c r="I250" s="272" t="e">
        <f t="shared" si="30"/>
        <v>#VALUE!</v>
      </c>
      <c r="J250" s="272">
        <f>SUM($H$18:$H250)</f>
        <v>0</v>
      </c>
    </row>
    <row r="251" spans="1:10" x14ac:dyDescent="0.2">
      <c r="A251" s="286" t="str">
        <f t="shared" si="31"/>
        <v/>
      </c>
      <c r="B251" s="270" t="str">
        <f t="shared" si="27"/>
        <v/>
      </c>
      <c r="C251" s="272" t="str">
        <f t="shared" si="32"/>
        <v/>
      </c>
      <c r="D251" s="272" t="str">
        <f t="shared" si="35"/>
        <v/>
      </c>
      <c r="E251" s="273" t="e">
        <f t="shared" si="28"/>
        <v>#VALUE!</v>
      </c>
      <c r="F251" s="272" t="e">
        <f t="shared" si="29"/>
        <v>#VALUE!</v>
      </c>
      <c r="G251" s="272" t="str">
        <f t="shared" si="33"/>
        <v/>
      </c>
      <c r="H251" s="272" t="str">
        <f t="shared" si="34"/>
        <v/>
      </c>
      <c r="I251" s="272" t="e">
        <f t="shared" si="30"/>
        <v>#VALUE!</v>
      </c>
      <c r="J251" s="272">
        <f>SUM($H$18:$H251)</f>
        <v>0</v>
      </c>
    </row>
    <row r="252" spans="1:10" x14ac:dyDescent="0.2">
      <c r="A252" s="286" t="str">
        <f t="shared" si="31"/>
        <v/>
      </c>
      <c r="B252" s="270" t="str">
        <f t="shared" si="27"/>
        <v/>
      </c>
      <c r="C252" s="272" t="str">
        <f t="shared" si="32"/>
        <v/>
      </c>
      <c r="D252" s="272" t="str">
        <f t="shared" si="35"/>
        <v/>
      </c>
      <c r="E252" s="273" t="e">
        <f t="shared" si="28"/>
        <v>#VALUE!</v>
      </c>
      <c r="F252" s="272" t="e">
        <f t="shared" si="29"/>
        <v>#VALUE!</v>
      </c>
      <c r="G252" s="272" t="str">
        <f t="shared" si="33"/>
        <v/>
      </c>
      <c r="H252" s="272" t="str">
        <f t="shared" si="34"/>
        <v/>
      </c>
      <c r="I252" s="272" t="e">
        <f t="shared" si="30"/>
        <v>#VALUE!</v>
      </c>
      <c r="J252" s="272">
        <f>SUM($H$18:$H252)</f>
        <v>0</v>
      </c>
    </row>
    <row r="253" spans="1:10" x14ac:dyDescent="0.2">
      <c r="A253" s="286" t="str">
        <f t="shared" si="31"/>
        <v/>
      </c>
      <c r="B253" s="270" t="str">
        <f t="shared" si="27"/>
        <v/>
      </c>
      <c r="C253" s="272" t="str">
        <f t="shared" si="32"/>
        <v/>
      </c>
      <c r="D253" s="272" t="str">
        <f t="shared" si="35"/>
        <v/>
      </c>
      <c r="E253" s="273" t="e">
        <f t="shared" si="28"/>
        <v>#VALUE!</v>
      </c>
      <c r="F253" s="272" t="e">
        <f t="shared" si="29"/>
        <v>#VALUE!</v>
      </c>
      <c r="G253" s="272" t="str">
        <f t="shared" si="33"/>
        <v/>
      </c>
      <c r="H253" s="272" t="str">
        <f t="shared" si="34"/>
        <v/>
      </c>
      <c r="I253" s="272" t="e">
        <f t="shared" si="30"/>
        <v>#VALUE!</v>
      </c>
      <c r="J253" s="272">
        <f>SUM($H$18:$H253)</f>
        <v>0</v>
      </c>
    </row>
    <row r="254" spans="1:10" x14ac:dyDescent="0.2">
      <c r="A254" s="286" t="str">
        <f t="shared" si="31"/>
        <v/>
      </c>
      <c r="B254" s="270" t="str">
        <f t="shared" si="27"/>
        <v/>
      </c>
      <c r="C254" s="272" t="str">
        <f t="shared" si="32"/>
        <v/>
      </c>
      <c r="D254" s="272" t="str">
        <f t="shared" si="35"/>
        <v/>
      </c>
      <c r="E254" s="273" t="e">
        <f t="shared" si="28"/>
        <v>#VALUE!</v>
      </c>
      <c r="F254" s="272" t="e">
        <f t="shared" si="29"/>
        <v>#VALUE!</v>
      </c>
      <c r="G254" s="272" t="str">
        <f t="shared" si="33"/>
        <v/>
      </c>
      <c r="H254" s="272" t="str">
        <f t="shared" si="34"/>
        <v/>
      </c>
      <c r="I254" s="272" t="e">
        <f t="shared" si="30"/>
        <v>#VALUE!</v>
      </c>
      <c r="J254" s="272">
        <f>SUM($H$18:$H254)</f>
        <v>0</v>
      </c>
    </row>
    <row r="255" spans="1:10" x14ac:dyDescent="0.2">
      <c r="A255" s="286" t="str">
        <f t="shared" si="31"/>
        <v/>
      </c>
      <c r="B255" s="270" t="str">
        <f t="shared" si="27"/>
        <v/>
      </c>
      <c r="C255" s="272" t="str">
        <f t="shared" si="32"/>
        <v/>
      </c>
      <c r="D255" s="272" t="str">
        <f t="shared" si="35"/>
        <v/>
      </c>
      <c r="E255" s="273" t="e">
        <f t="shared" si="28"/>
        <v>#VALUE!</v>
      </c>
      <c r="F255" s="272" t="e">
        <f t="shared" si="29"/>
        <v>#VALUE!</v>
      </c>
      <c r="G255" s="272" t="str">
        <f t="shared" si="33"/>
        <v/>
      </c>
      <c r="H255" s="272" t="str">
        <f t="shared" si="34"/>
        <v/>
      </c>
      <c r="I255" s="272" t="e">
        <f t="shared" si="30"/>
        <v>#VALUE!</v>
      </c>
      <c r="J255" s="272">
        <f>SUM($H$18:$H255)</f>
        <v>0</v>
      </c>
    </row>
    <row r="256" spans="1:10" x14ac:dyDescent="0.2">
      <c r="A256" s="286" t="str">
        <f t="shared" si="31"/>
        <v/>
      </c>
      <c r="B256" s="270" t="str">
        <f t="shared" si="27"/>
        <v/>
      </c>
      <c r="C256" s="272" t="str">
        <f t="shared" si="32"/>
        <v/>
      </c>
      <c r="D256" s="272" t="str">
        <f t="shared" si="35"/>
        <v/>
      </c>
      <c r="E256" s="273" t="e">
        <f t="shared" si="28"/>
        <v>#VALUE!</v>
      </c>
      <c r="F256" s="272" t="e">
        <f t="shared" si="29"/>
        <v>#VALUE!</v>
      </c>
      <c r="G256" s="272" t="str">
        <f t="shared" si="33"/>
        <v/>
      </c>
      <c r="H256" s="272" t="str">
        <f t="shared" si="34"/>
        <v/>
      </c>
      <c r="I256" s="272" t="e">
        <f t="shared" si="30"/>
        <v>#VALUE!</v>
      </c>
      <c r="J256" s="272">
        <f>SUM($H$18:$H256)</f>
        <v>0</v>
      </c>
    </row>
    <row r="257" spans="1:10" x14ac:dyDescent="0.2">
      <c r="A257" s="286" t="str">
        <f t="shared" si="31"/>
        <v/>
      </c>
      <c r="B257" s="270" t="str">
        <f t="shared" si="27"/>
        <v/>
      </c>
      <c r="C257" s="272" t="str">
        <f t="shared" si="32"/>
        <v/>
      </c>
      <c r="D257" s="272" t="str">
        <f t="shared" si="35"/>
        <v/>
      </c>
      <c r="E257" s="273" t="e">
        <f t="shared" si="28"/>
        <v>#VALUE!</v>
      </c>
      <c r="F257" s="272" t="e">
        <f t="shared" si="29"/>
        <v>#VALUE!</v>
      </c>
      <c r="G257" s="272" t="str">
        <f t="shared" si="33"/>
        <v/>
      </c>
      <c r="H257" s="272" t="str">
        <f t="shared" si="34"/>
        <v/>
      </c>
      <c r="I257" s="272" t="e">
        <f t="shared" si="30"/>
        <v>#VALUE!</v>
      </c>
      <c r="J257" s="272">
        <f>SUM($H$18:$H257)</f>
        <v>0</v>
      </c>
    </row>
    <row r="258" spans="1:10" x14ac:dyDescent="0.2">
      <c r="A258" s="286" t="str">
        <f t="shared" si="31"/>
        <v/>
      </c>
      <c r="B258" s="270" t="str">
        <f t="shared" si="27"/>
        <v/>
      </c>
      <c r="C258" s="272" t="str">
        <f t="shared" si="32"/>
        <v/>
      </c>
      <c r="D258" s="272" t="str">
        <f t="shared" si="35"/>
        <v/>
      </c>
      <c r="E258" s="273" t="e">
        <f t="shared" si="28"/>
        <v>#VALUE!</v>
      </c>
      <c r="F258" s="272" t="e">
        <f t="shared" si="29"/>
        <v>#VALUE!</v>
      </c>
      <c r="G258" s="272" t="str">
        <f t="shared" si="33"/>
        <v/>
      </c>
      <c r="H258" s="272" t="str">
        <f t="shared" si="34"/>
        <v/>
      </c>
      <c r="I258" s="272" t="e">
        <f t="shared" si="30"/>
        <v>#VALUE!</v>
      </c>
      <c r="J258" s="272">
        <f>SUM($H$18:$H258)</f>
        <v>0</v>
      </c>
    </row>
    <row r="259" spans="1:10" x14ac:dyDescent="0.2">
      <c r="A259" s="286" t="str">
        <f t="shared" si="31"/>
        <v/>
      </c>
      <c r="B259" s="270" t="str">
        <f t="shared" si="27"/>
        <v/>
      </c>
      <c r="C259" s="272" t="str">
        <f t="shared" si="32"/>
        <v/>
      </c>
      <c r="D259" s="272" t="str">
        <f t="shared" si="35"/>
        <v/>
      </c>
      <c r="E259" s="273" t="e">
        <f t="shared" si="28"/>
        <v>#VALUE!</v>
      </c>
      <c r="F259" s="272" t="e">
        <f t="shared" si="29"/>
        <v>#VALUE!</v>
      </c>
      <c r="G259" s="272" t="str">
        <f t="shared" si="33"/>
        <v/>
      </c>
      <c r="H259" s="272" t="str">
        <f t="shared" si="34"/>
        <v/>
      </c>
      <c r="I259" s="272" t="e">
        <f t="shared" si="30"/>
        <v>#VALUE!</v>
      </c>
      <c r="J259" s="272">
        <f>SUM($H$18:$H259)</f>
        <v>0</v>
      </c>
    </row>
    <row r="260" spans="1:10" x14ac:dyDescent="0.2">
      <c r="A260" s="286" t="str">
        <f t="shared" si="31"/>
        <v/>
      </c>
      <c r="B260" s="270" t="str">
        <f t="shared" si="27"/>
        <v/>
      </c>
      <c r="C260" s="272" t="str">
        <f t="shared" si="32"/>
        <v/>
      </c>
      <c r="D260" s="272" t="str">
        <f t="shared" si="35"/>
        <v/>
      </c>
      <c r="E260" s="273" t="e">
        <f t="shared" si="28"/>
        <v>#VALUE!</v>
      </c>
      <c r="F260" s="272" t="e">
        <f t="shared" si="29"/>
        <v>#VALUE!</v>
      </c>
      <c r="G260" s="272" t="str">
        <f t="shared" si="33"/>
        <v/>
      </c>
      <c r="H260" s="272" t="str">
        <f t="shared" si="34"/>
        <v/>
      </c>
      <c r="I260" s="272" t="e">
        <f t="shared" si="30"/>
        <v>#VALUE!</v>
      </c>
      <c r="J260" s="272">
        <f>SUM($H$18:$H260)</f>
        <v>0</v>
      </c>
    </row>
    <row r="261" spans="1:10" x14ac:dyDescent="0.2">
      <c r="A261" s="286" t="str">
        <f t="shared" si="31"/>
        <v/>
      </c>
      <c r="B261" s="270" t="str">
        <f t="shared" si="27"/>
        <v/>
      </c>
      <c r="C261" s="272" t="str">
        <f t="shared" si="32"/>
        <v/>
      </c>
      <c r="D261" s="272" t="str">
        <f t="shared" si="35"/>
        <v/>
      </c>
      <c r="E261" s="273" t="e">
        <f t="shared" si="28"/>
        <v>#VALUE!</v>
      </c>
      <c r="F261" s="272" t="e">
        <f t="shared" si="29"/>
        <v>#VALUE!</v>
      </c>
      <c r="G261" s="272" t="str">
        <f t="shared" si="33"/>
        <v/>
      </c>
      <c r="H261" s="272" t="str">
        <f t="shared" si="34"/>
        <v/>
      </c>
      <c r="I261" s="272" t="e">
        <f t="shared" si="30"/>
        <v>#VALUE!</v>
      </c>
      <c r="J261" s="272">
        <f>SUM($H$18:$H261)</f>
        <v>0</v>
      </c>
    </row>
    <row r="262" spans="1:10" x14ac:dyDescent="0.2">
      <c r="A262" s="286" t="str">
        <f t="shared" si="31"/>
        <v/>
      </c>
      <c r="B262" s="270" t="str">
        <f t="shared" si="27"/>
        <v/>
      </c>
      <c r="C262" s="272" t="str">
        <f t="shared" si="32"/>
        <v/>
      </c>
      <c r="D262" s="272" t="str">
        <f t="shared" si="35"/>
        <v/>
      </c>
      <c r="E262" s="273" t="e">
        <f t="shared" si="28"/>
        <v>#VALUE!</v>
      </c>
      <c r="F262" s="272" t="e">
        <f t="shared" si="29"/>
        <v>#VALUE!</v>
      </c>
      <c r="G262" s="272" t="str">
        <f t="shared" si="33"/>
        <v/>
      </c>
      <c r="H262" s="272" t="str">
        <f t="shared" si="34"/>
        <v/>
      </c>
      <c r="I262" s="272" t="e">
        <f t="shared" si="30"/>
        <v>#VALUE!</v>
      </c>
      <c r="J262" s="272">
        <f>SUM($H$18:$H262)</f>
        <v>0</v>
      </c>
    </row>
    <row r="263" spans="1:10" x14ac:dyDescent="0.2">
      <c r="A263" s="286" t="str">
        <f t="shared" si="31"/>
        <v/>
      </c>
      <c r="B263" s="270" t="str">
        <f t="shared" si="27"/>
        <v/>
      </c>
      <c r="C263" s="272" t="str">
        <f t="shared" si="32"/>
        <v/>
      </c>
      <c r="D263" s="272" t="str">
        <f t="shared" si="35"/>
        <v/>
      </c>
      <c r="E263" s="273" t="e">
        <f t="shared" si="28"/>
        <v>#VALUE!</v>
      </c>
      <c r="F263" s="272" t="e">
        <f t="shared" si="29"/>
        <v>#VALUE!</v>
      </c>
      <c r="G263" s="272" t="str">
        <f t="shared" si="33"/>
        <v/>
      </c>
      <c r="H263" s="272" t="str">
        <f t="shared" si="34"/>
        <v/>
      </c>
      <c r="I263" s="272" t="e">
        <f t="shared" si="30"/>
        <v>#VALUE!</v>
      </c>
      <c r="J263" s="272">
        <f>SUM($H$18:$H263)</f>
        <v>0</v>
      </c>
    </row>
    <row r="264" spans="1:10" x14ac:dyDescent="0.2">
      <c r="A264" s="286" t="str">
        <f t="shared" si="31"/>
        <v/>
      </c>
      <c r="B264" s="270" t="str">
        <f t="shared" si="27"/>
        <v/>
      </c>
      <c r="C264" s="272" t="str">
        <f t="shared" si="32"/>
        <v/>
      </c>
      <c r="D264" s="272" t="str">
        <f t="shared" si="35"/>
        <v/>
      </c>
      <c r="E264" s="273" t="e">
        <f t="shared" si="28"/>
        <v>#VALUE!</v>
      </c>
      <c r="F264" s="272" t="e">
        <f t="shared" si="29"/>
        <v>#VALUE!</v>
      </c>
      <c r="G264" s="272" t="str">
        <f t="shared" si="33"/>
        <v/>
      </c>
      <c r="H264" s="272" t="str">
        <f t="shared" si="34"/>
        <v/>
      </c>
      <c r="I264" s="272" t="e">
        <f t="shared" si="30"/>
        <v>#VALUE!</v>
      </c>
      <c r="J264" s="272">
        <f>SUM($H$18:$H264)</f>
        <v>0</v>
      </c>
    </row>
    <row r="265" spans="1:10" x14ac:dyDescent="0.2">
      <c r="A265" s="286" t="str">
        <f t="shared" si="31"/>
        <v/>
      </c>
      <c r="B265" s="270" t="str">
        <f t="shared" si="27"/>
        <v/>
      </c>
      <c r="C265" s="272" t="str">
        <f t="shared" si="32"/>
        <v/>
      </c>
      <c r="D265" s="272" t="str">
        <f t="shared" si="35"/>
        <v/>
      </c>
      <c r="E265" s="273" t="e">
        <f t="shared" si="28"/>
        <v>#VALUE!</v>
      </c>
      <c r="F265" s="272" t="e">
        <f t="shared" si="29"/>
        <v>#VALUE!</v>
      </c>
      <c r="G265" s="272" t="str">
        <f t="shared" si="33"/>
        <v/>
      </c>
      <c r="H265" s="272" t="str">
        <f t="shared" si="34"/>
        <v/>
      </c>
      <c r="I265" s="272" t="e">
        <f t="shared" si="30"/>
        <v>#VALUE!</v>
      </c>
      <c r="J265" s="272">
        <f>SUM($H$18:$H265)</f>
        <v>0</v>
      </c>
    </row>
    <row r="266" spans="1:10" x14ac:dyDescent="0.2">
      <c r="A266" s="286" t="str">
        <f t="shared" si="31"/>
        <v/>
      </c>
      <c r="B266" s="270" t="str">
        <f t="shared" si="27"/>
        <v/>
      </c>
      <c r="C266" s="272" t="str">
        <f t="shared" si="32"/>
        <v/>
      </c>
      <c r="D266" s="272" t="str">
        <f t="shared" si="35"/>
        <v/>
      </c>
      <c r="E266" s="273" t="e">
        <f t="shared" si="28"/>
        <v>#VALUE!</v>
      </c>
      <c r="F266" s="272" t="e">
        <f t="shared" si="29"/>
        <v>#VALUE!</v>
      </c>
      <c r="G266" s="272" t="str">
        <f t="shared" si="33"/>
        <v/>
      </c>
      <c r="H266" s="272" t="str">
        <f t="shared" si="34"/>
        <v/>
      </c>
      <c r="I266" s="272" t="e">
        <f t="shared" si="30"/>
        <v>#VALUE!</v>
      </c>
      <c r="J266" s="272">
        <f>SUM($H$18:$H266)</f>
        <v>0</v>
      </c>
    </row>
    <row r="267" spans="1:10" x14ac:dyDescent="0.2">
      <c r="A267" s="286" t="str">
        <f t="shared" si="31"/>
        <v/>
      </c>
      <c r="B267" s="270" t="str">
        <f t="shared" si="27"/>
        <v/>
      </c>
      <c r="C267" s="272" t="str">
        <f t="shared" si="32"/>
        <v/>
      </c>
      <c r="D267" s="272" t="str">
        <f t="shared" si="35"/>
        <v/>
      </c>
      <c r="E267" s="273" t="e">
        <f t="shared" si="28"/>
        <v>#VALUE!</v>
      </c>
      <c r="F267" s="272" t="e">
        <f t="shared" si="29"/>
        <v>#VALUE!</v>
      </c>
      <c r="G267" s="272" t="str">
        <f t="shared" si="33"/>
        <v/>
      </c>
      <c r="H267" s="272" t="str">
        <f t="shared" si="34"/>
        <v/>
      </c>
      <c r="I267" s="272" t="e">
        <f t="shared" si="30"/>
        <v>#VALUE!</v>
      </c>
      <c r="J267" s="272">
        <f>SUM($H$18:$H267)</f>
        <v>0</v>
      </c>
    </row>
    <row r="268" spans="1:10" x14ac:dyDescent="0.2">
      <c r="A268" s="286" t="str">
        <f t="shared" si="31"/>
        <v/>
      </c>
      <c r="B268" s="270" t="str">
        <f t="shared" si="27"/>
        <v/>
      </c>
      <c r="C268" s="272" t="str">
        <f t="shared" si="32"/>
        <v/>
      </c>
      <c r="D268" s="272" t="str">
        <f t="shared" si="35"/>
        <v/>
      </c>
      <c r="E268" s="273" t="e">
        <f t="shared" si="28"/>
        <v>#VALUE!</v>
      </c>
      <c r="F268" s="272" t="e">
        <f t="shared" si="29"/>
        <v>#VALUE!</v>
      </c>
      <c r="G268" s="272" t="str">
        <f t="shared" si="33"/>
        <v/>
      </c>
      <c r="H268" s="272" t="str">
        <f t="shared" si="34"/>
        <v/>
      </c>
      <c r="I268" s="272" t="e">
        <f t="shared" si="30"/>
        <v>#VALUE!</v>
      </c>
      <c r="J268" s="272">
        <f>SUM($H$18:$H268)</f>
        <v>0</v>
      </c>
    </row>
    <row r="269" spans="1:10" x14ac:dyDescent="0.2">
      <c r="A269" s="286" t="str">
        <f t="shared" si="31"/>
        <v/>
      </c>
      <c r="B269" s="270" t="str">
        <f t="shared" si="27"/>
        <v/>
      </c>
      <c r="C269" s="272" t="str">
        <f t="shared" si="32"/>
        <v/>
      </c>
      <c r="D269" s="272" t="str">
        <f t="shared" si="35"/>
        <v/>
      </c>
      <c r="E269" s="273" t="e">
        <f t="shared" si="28"/>
        <v>#VALUE!</v>
      </c>
      <c r="F269" s="272" t="e">
        <f t="shared" si="29"/>
        <v>#VALUE!</v>
      </c>
      <c r="G269" s="272" t="str">
        <f t="shared" si="33"/>
        <v/>
      </c>
      <c r="H269" s="272" t="str">
        <f t="shared" si="34"/>
        <v/>
      </c>
      <c r="I269" s="272" t="e">
        <f t="shared" si="30"/>
        <v>#VALUE!</v>
      </c>
      <c r="J269" s="272">
        <f>SUM($H$18:$H269)</f>
        <v>0</v>
      </c>
    </row>
    <row r="270" spans="1:10" x14ac:dyDescent="0.2">
      <c r="A270" s="286" t="str">
        <f t="shared" si="31"/>
        <v/>
      </c>
      <c r="B270" s="270" t="str">
        <f t="shared" si="27"/>
        <v/>
      </c>
      <c r="C270" s="272" t="str">
        <f t="shared" si="32"/>
        <v/>
      </c>
      <c r="D270" s="272" t="str">
        <f t="shared" si="35"/>
        <v/>
      </c>
      <c r="E270" s="273" t="e">
        <f t="shared" si="28"/>
        <v>#VALUE!</v>
      </c>
      <c r="F270" s="272" t="e">
        <f t="shared" si="29"/>
        <v>#VALUE!</v>
      </c>
      <c r="G270" s="272" t="str">
        <f t="shared" si="33"/>
        <v/>
      </c>
      <c r="H270" s="272" t="str">
        <f t="shared" si="34"/>
        <v/>
      </c>
      <c r="I270" s="272" t="e">
        <f t="shared" si="30"/>
        <v>#VALUE!</v>
      </c>
      <c r="J270" s="272">
        <f>SUM($H$18:$H270)</f>
        <v>0</v>
      </c>
    </row>
    <row r="271" spans="1:10" x14ac:dyDescent="0.2">
      <c r="A271" s="286" t="str">
        <f t="shared" si="31"/>
        <v/>
      </c>
      <c r="B271" s="270" t="str">
        <f t="shared" si="27"/>
        <v/>
      </c>
      <c r="C271" s="272" t="str">
        <f t="shared" si="32"/>
        <v/>
      </c>
      <c r="D271" s="272" t="str">
        <f t="shared" si="35"/>
        <v/>
      </c>
      <c r="E271" s="273" t="e">
        <f t="shared" si="28"/>
        <v>#VALUE!</v>
      </c>
      <c r="F271" s="272" t="e">
        <f t="shared" si="29"/>
        <v>#VALUE!</v>
      </c>
      <c r="G271" s="272" t="str">
        <f t="shared" si="33"/>
        <v/>
      </c>
      <c r="H271" s="272" t="str">
        <f t="shared" si="34"/>
        <v/>
      </c>
      <c r="I271" s="272" t="e">
        <f t="shared" si="30"/>
        <v>#VALUE!</v>
      </c>
      <c r="J271" s="272">
        <f>SUM($H$18:$H271)</f>
        <v>0</v>
      </c>
    </row>
    <row r="272" spans="1:10" x14ac:dyDescent="0.2">
      <c r="A272" s="286" t="str">
        <f t="shared" si="31"/>
        <v/>
      </c>
      <c r="B272" s="270" t="str">
        <f t="shared" si="27"/>
        <v/>
      </c>
      <c r="C272" s="272" t="str">
        <f t="shared" si="32"/>
        <v/>
      </c>
      <c r="D272" s="272" t="str">
        <f t="shared" si="35"/>
        <v/>
      </c>
      <c r="E272" s="273" t="e">
        <f t="shared" si="28"/>
        <v>#VALUE!</v>
      </c>
      <c r="F272" s="272" t="e">
        <f t="shared" si="29"/>
        <v>#VALUE!</v>
      </c>
      <c r="G272" s="272" t="str">
        <f t="shared" si="33"/>
        <v/>
      </c>
      <c r="H272" s="272" t="str">
        <f t="shared" si="34"/>
        <v/>
      </c>
      <c r="I272" s="272" t="e">
        <f t="shared" si="30"/>
        <v>#VALUE!</v>
      </c>
      <c r="J272" s="272">
        <f>SUM($H$18:$H272)</f>
        <v>0</v>
      </c>
    </row>
    <row r="273" spans="1:10" x14ac:dyDescent="0.2">
      <c r="A273" s="286" t="str">
        <f t="shared" si="31"/>
        <v/>
      </c>
      <c r="B273" s="270" t="str">
        <f t="shared" si="27"/>
        <v/>
      </c>
      <c r="C273" s="272" t="str">
        <f t="shared" si="32"/>
        <v/>
      </c>
      <c r="D273" s="272" t="str">
        <f t="shared" si="35"/>
        <v/>
      </c>
      <c r="E273" s="273" t="e">
        <f t="shared" si="28"/>
        <v>#VALUE!</v>
      </c>
      <c r="F273" s="272" t="e">
        <f t="shared" si="29"/>
        <v>#VALUE!</v>
      </c>
      <c r="G273" s="272" t="str">
        <f t="shared" si="33"/>
        <v/>
      </c>
      <c r="H273" s="272" t="str">
        <f t="shared" si="34"/>
        <v/>
      </c>
      <c r="I273" s="272" t="e">
        <f t="shared" si="30"/>
        <v>#VALUE!</v>
      </c>
      <c r="J273" s="272">
        <f>SUM($H$18:$H273)</f>
        <v>0</v>
      </c>
    </row>
    <row r="274" spans="1:10" x14ac:dyDescent="0.2">
      <c r="A274" s="286" t="str">
        <f t="shared" si="31"/>
        <v/>
      </c>
      <c r="B274" s="270" t="str">
        <f t="shared" ref="B274:B337" si="36">IF(Pay_Num&lt;&gt;"",DATE(YEAR(Loan_Start),MONTH(Loan_Start)+(Pay_Num)*12/Num_Pmt_Per_Year,DAY(Loan_Start)),"")</f>
        <v/>
      </c>
      <c r="C274" s="272" t="str">
        <f t="shared" si="32"/>
        <v/>
      </c>
      <c r="D274" s="272" t="str">
        <f t="shared" si="35"/>
        <v/>
      </c>
      <c r="E274" s="273" t="e">
        <f t="shared" ref="E274:E337" si="37">IF(AND(Pay_Num&lt;&gt;"",Sched_Pay+Scheduled_Extra_Payments&lt;Beg_Bal),Scheduled_Extra_Payments,IF(AND(Pay_Num&lt;&gt;"",Beg_Bal-Sched_Pay&gt;0),Beg_Bal-Sched_Pay,IF(Pay_Num&lt;&gt;"",0,"")))</f>
        <v>#VALUE!</v>
      </c>
      <c r="F274" s="272" t="e">
        <f t="shared" ref="F274:F337" si="38">IF(AND(Pay_Num&lt;&gt;"",Sched_Pay+Extra_Pay&lt;Beg_Bal),Sched_Pay+Extra_Pay,IF(Pay_Num&lt;&gt;"",Beg_Bal,""))</f>
        <v>#VALUE!</v>
      </c>
      <c r="G274" s="272" t="str">
        <f t="shared" si="33"/>
        <v/>
      </c>
      <c r="H274" s="272" t="str">
        <f t="shared" si="34"/>
        <v/>
      </c>
      <c r="I274" s="272" t="e">
        <f t="shared" ref="I274:I337" si="39">IF(AND(Pay_Num&lt;&gt;"",Sched_Pay+Extra_Pay&lt;Beg_Bal),Beg_Bal-Princ,IF(Pay_Num&lt;&gt;"",0,""))</f>
        <v>#VALUE!</v>
      </c>
      <c r="J274" s="272">
        <f>SUM($H$18:$H274)</f>
        <v>0</v>
      </c>
    </row>
    <row r="275" spans="1:10" x14ac:dyDescent="0.2">
      <c r="A275" s="286" t="str">
        <f t="shared" ref="A275:A338" si="40">IF(Values_Entered,A274+1,"")</f>
        <v/>
      </c>
      <c r="B275" s="270" t="str">
        <f t="shared" si="36"/>
        <v/>
      </c>
      <c r="C275" s="272" t="str">
        <f t="shared" ref="C275:C338" si="41">IF(Pay_Num&lt;&gt;"",I274,"")</f>
        <v/>
      </c>
      <c r="D275" s="272" t="str">
        <f t="shared" si="35"/>
        <v/>
      </c>
      <c r="E275" s="273" t="e">
        <f t="shared" si="37"/>
        <v>#VALUE!</v>
      </c>
      <c r="F275" s="272" t="e">
        <f t="shared" si="38"/>
        <v>#VALUE!</v>
      </c>
      <c r="G275" s="272" t="str">
        <f t="shared" ref="G275:G338" si="42">IF(Pay_Num&lt;&gt;"",Total_Pay-Int,"")</f>
        <v/>
      </c>
      <c r="H275" s="272" t="str">
        <f t="shared" ref="H275:H338" si="43">IF(Pay_Num&lt;&gt;"",Beg_Bal*Interest_Rate/Num_Pmt_Per_Year,"")</f>
        <v/>
      </c>
      <c r="I275" s="272" t="e">
        <f t="shared" si="39"/>
        <v>#VALUE!</v>
      </c>
      <c r="J275" s="272">
        <f>SUM($H$18:$H275)</f>
        <v>0</v>
      </c>
    </row>
    <row r="276" spans="1:10" x14ac:dyDescent="0.2">
      <c r="A276" s="286" t="str">
        <f t="shared" si="40"/>
        <v/>
      </c>
      <c r="B276" s="270" t="str">
        <f t="shared" si="36"/>
        <v/>
      </c>
      <c r="C276" s="272" t="str">
        <f t="shared" si="41"/>
        <v/>
      </c>
      <c r="D276" s="272" t="str">
        <f t="shared" ref="D276:D339" si="44">IF(Pay_Num&lt;&gt;"",Scheduled_Monthly_Payment,"")</f>
        <v/>
      </c>
      <c r="E276" s="273" t="e">
        <f t="shared" si="37"/>
        <v>#VALUE!</v>
      </c>
      <c r="F276" s="272" t="e">
        <f t="shared" si="38"/>
        <v>#VALUE!</v>
      </c>
      <c r="G276" s="272" t="str">
        <f t="shared" si="42"/>
        <v/>
      </c>
      <c r="H276" s="272" t="str">
        <f t="shared" si="43"/>
        <v/>
      </c>
      <c r="I276" s="272" t="e">
        <f t="shared" si="39"/>
        <v>#VALUE!</v>
      </c>
      <c r="J276" s="272">
        <f>SUM($H$18:$H276)</f>
        <v>0</v>
      </c>
    </row>
    <row r="277" spans="1:10" x14ac:dyDescent="0.2">
      <c r="A277" s="286" t="str">
        <f t="shared" si="40"/>
        <v/>
      </c>
      <c r="B277" s="270" t="str">
        <f t="shared" si="36"/>
        <v/>
      </c>
      <c r="C277" s="272" t="str">
        <f t="shared" si="41"/>
        <v/>
      </c>
      <c r="D277" s="272" t="str">
        <f t="shared" si="44"/>
        <v/>
      </c>
      <c r="E277" s="273" t="e">
        <f t="shared" si="37"/>
        <v>#VALUE!</v>
      </c>
      <c r="F277" s="272" t="e">
        <f t="shared" si="38"/>
        <v>#VALUE!</v>
      </c>
      <c r="G277" s="272" t="str">
        <f t="shared" si="42"/>
        <v/>
      </c>
      <c r="H277" s="272" t="str">
        <f t="shared" si="43"/>
        <v/>
      </c>
      <c r="I277" s="272" t="e">
        <f t="shared" si="39"/>
        <v>#VALUE!</v>
      </c>
      <c r="J277" s="272">
        <f>SUM($H$18:$H277)</f>
        <v>0</v>
      </c>
    </row>
    <row r="278" spans="1:10" x14ac:dyDescent="0.2">
      <c r="A278" s="286" t="str">
        <f t="shared" si="40"/>
        <v/>
      </c>
      <c r="B278" s="270" t="str">
        <f t="shared" si="36"/>
        <v/>
      </c>
      <c r="C278" s="272" t="str">
        <f t="shared" si="41"/>
        <v/>
      </c>
      <c r="D278" s="272" t="str">
        <f t="shared" si="44"/>
        <v/>
      </c>
      <c r="E278" s="273" t="e">
        <f t="shared" si="37"/>
        <v>#VALUE!</v>
      </c>
      <c r="F278" s="272" t="e">
        <f t="shared" si="38"/>
        <v>#VALUE!</v>
      </c>
      <c r="G278" s="272" t="str">
        <f t="shared" si="42"/>
        <v/>
      </c>
      <c r="H278" s="272" t="str">
        <f t="shared" si="43"/>
        <v/>
      </c>
      <c r="I278" s="272" t="e">
        <f t="shared" si="39"/>
        <v>#VALUE!</v>
      </c>
      <c r="J278" s="272">
        <f>SUM($H$18:$H278)</f>
        <v>0</v>
      </c>
    </row>
    <row r="279" spans="1:10" x14ac:dyDescent="0.2">
      <c r="A279" s="286" t="str">
        <f t="shared" si="40"/>
        <v/>
      </c>
      <c r="B279" s="270" t="str">
        <f t="shared" si="36"/>
        <v/>
      </c>
      <c r="C279" s="272" t="str">
        <f t="shared" si="41"/>
        <v/>
      </c>
      <c r="D279" s="272" t="str">
        <f t="shared" si="44"/>
        <v/>
      </c>
      <c r="E279" s="273" t="e">
        <f t="shared" si="37"/>
        <v>#VALUE!</v>
      </c>
      <c r="F279" s="272" t="e">
        <f t="shared" si="38"/>
        <v>#VALUE!</v>
      </c>
      <c r="G279" s="272" t="str">
        <f t="shared" si="42"/>
        <v/>
      </c>
      <c r="H279" s="272" t="str">
        <f t="shared" si="43"/>
        <v/>
      </c>
      <c r="I279" s="272" t="e">
        <f t="shared" si="39"/>
        <v>#VALUE!</v>
      </c>
      <c r="J279" s="272">
        <f>SUM($H$18:$H279)</f>
        <v>0</v>
      </c>
    </row>
    <row r="280" spans="1:10" x14ac:dyDescent="0.2">
      <c r="A280" s="286" t="str">
        <f t="shared" si="40"/>
        <v/>
      </c>
      <c r="B280" s="270" t="str">
        <f t="shared" si="36"/>
        <v/>
      </c>
      <c r="C280" s="272" t="str">
        <f t="shared" si="41"/>
        <v/>
      </c>
      <c r="D280" s="272" t="str">
        <f t="shared" si="44"/>
        <v/>
      </c>
      <c r="E280" s="273" t="e">
        <f t="shared" si="37"/>
        <v>#VALUE!</v>
      </c>
      <c r="F280" s="272" t="e">
        <f t="shared" si="38"/>
        <v>#VALUE!</v>
      </c>
      <c r="G280" s="272" t="str">
        <f t="shared" si="42"/>
        <v/>
      </c>
      <c r="H280" s="272" t="str">
        <f t="shared" si="43"/>
        <v/>
      </c>
      <c r="I280" s="272" t="e">
        <f t="shared" si="39"/>
        <v>#VALUE!</v>
      </c>
      <c r="J280" s="272">
        <f>SUM($H$18:$H280)</f>
        <v>0</v>
      </c>
    </row>
    <row r="281" spans="1:10" x14ac:dyDescent="0.2">
      <c r="A281" s="286" t="str">
        <f t="shared" si="40"/>
        <v/>
      </c>
      <c r="B281" s="270" t="str">
        <f t="shared" si="36"/>
        <v/>
      </c>
      <c r="C281" s="272" t="str">
        <f t="shared" si="41"/>
        <v/>
      </c>
      <c r="D281" s="272" t="str">
        <f t="shared" si="44"/>
        <v/>
      </c>
      <c r="E281" s="273" t="e">
        <f t="shared" si="37"/>
        <v>#VALUE!</v>
      </c>
      <c r="F281" s="272" t="e">
        <f t="shared" si="38"/>
        <v>#VALUE!</v>
      </c>
      <c r="G281" s="272" t="str">
        <f t="shared" si="42"/>
        <v/>
      </c>
      <c r="H281" s="272" t="str">
        <f t="shared" si="43"/>
        <v/>
      </c>
      <c r="I281" s="272" t="e">
        <f t="shared" si="39"/>
        <v>#VALUE!</v>
      </c>
      <c r="J281" s="272">
        <f>SUM($H$18:$H281)</f>
        <v>0</v>
      </c>
    </row>
    <row r="282" spans="1:10" x14ac:dyDescent="0.2">
      <c r="A282" s="286" t="str">
        <f t="shared" si="40"/>
        <v/>
      </c>
      <c r="B282" s="270" t="str">
        <f t="shared" si="36"/>
        <v/>
      </c>
      <c r="C282" s="272" t="str">
        <f t="shared" si="41"/>
        <v/>
      </c>
      <c r="D282" s="272" t="str">
        <f t="shared" si="44"/>
        <v/>
      </c>
      <c r="E282" s="273" t="e">
        <f t="shared" si="37"/>
        <v>#VALUE!</v>
      </c>
      <c r="F282" s="272" t="e">
        <f t="shared" si="38"/>
        <v>#VALUE!</v>
      </c>
      <c r="G282" s="272" t="str">
        <f t="shared" si="42"/>
        <v/>
      </c>
      <c r="H282" s="272" t="str">
        <f t="shared" si="43"/>
        <v/>
      </c>
      <c r="I282" s="272" t="e">
        <f t="shared" si="39"/>
        <v>#VALUE!</v>
      </c>
      <c r="J282" s="272">
        <f>SUM($H$18:$H282)</f>
        <v>0</v>
      </c>
    </row>
    <row r="283" spans="1:10" x14ac:dyDescent="0.2">
      <c r="A283" s="286" t="str">
        <f t="shared" si="40"/>
        <v/>
      </c>
      <c r="B283" s="270" t="str">
        <f t="shared" si="36"/>
        <v/>
      </c>
      <c r="C283" s="272" t="str">
        <f t="shared" si="41"/>
        <v/>
      </c>
      <c r="D283" s="272" t="str">
        <f t="shared" si="44"/>
        <v/>
      </c>
      <c r="E283" s="273" t="e">
        <f t="shared" si="37"/>
        <v>#VALUE!</v>
      </c>
      <c r="F283" s="272" t="e">
        <f t="shared" si="38"/>
        <v>#VALUE!</v>
      </c>
      <c r="G283" s="272" t="str">
        <f t="shared" si="42"/>
        <v/>
      </c>
      <c r="H283" s="272" t="str">
        <f t="shared" si="43"/>
        <v/>
      </c>
      <c r="I283" s="272" t="e">
        <f t="shared" si="39"/>
        <v>#VALUE!</v>
      </c>
      <c r="J283" s="272">
        <f>SUM($H$18:$H283)</f>
        <v>0</v>
      </c>
    </row>
    <row r="284" spans="1:10" x14ac:dyDescent="0.2">
      <c r="A284" s="286" t="str">
        <f t="shared" si="40"/>
        <v/>
      </c>
      <c r="B284" s="270" t="str">
        <f t="shared" si="36"/>
        <v/>
      </c>
      <c r="C284" s="272" t="str">
        <f t="shared" si="41"/>
        <v/>
      </c>
      <c r="D284" s="272" t="str">
        <f t="shared" si="44"/>
        <v/>
      </c>
      <c r="E284" s="273" t="e">
        <f t="shared" si="37"/>
        <v>#VALUE!</v>
      </c>
      <c r="F284" s="272" t="e">
        <f t="shared" si="38"/>
        <v>#VALUE!</v>
      </c>
      <c r="G284" s="272" t="str">
        <f t="shared" si="42"/>
        <v/>
      </c>
      <c r="H284" s="272" t="str">
        <f t="shared" si="43"/>
        <v/>
      </c>
      <c r="I284" s="272" t="e">
        <f t="shared" si="39"/>
        <v>#VALUE!</v>
      </c>
      <c r="J284" s="272">
        <f>SUM($H$18:$H284)</f>
        <v>0</v>
      </c>
    </row>
    <row r="285" spans="1:10" x14ac:dyDescent="0.2">
      <c r="A285" s="286" t="str">
        <f t="shared" si="40"/>
        <v/>
      </c>
      <c r="B285" s="270" t="str">
        <f t="shared" si="36"/>
        <v/>
      </c>
      <c r="C285" s="272" t="str">
        <f t="shared" si="41"/>
        <v/>
      </c>
      <c r="D285" s="272" t="str">
        <f t="shared" si="44"/>
        <v/>
      </c>
      <c r="E285" s="273" t="e">
        <f t="shared" si="37"/>
        <v>#VALUE!</v>
      </c>
      <c r="F285" s="272" t="e">
        <f t="shared" si="38"/>
        <v>#VALUE!</v>
      </c>
      <c r="G285" s="272" t="str">
        <f t="shared" si="42"/>
        <v/>
      </c>
      <c r="H285" s="272" t="str">
        <f t="shared" si="43"/>
        <v/>
      </c>
      <c r="I285" s="272" t="e">
        <f t="shared" si="39"/>
        <v>#VALUE!</v>
      </c>
      <c r="J285" s="272">
        <f>SUM($H$18:$H285)</f>
        <v>0</v>
      </c>
    </row>
    <row r="286" spans="1:10" x14ac:dyDescent="0.2">
      <c r="A286" s="286" t="str">
        <f t="shared" si="40"/>
        <v/>
      </c>
      <c r="B286" s="270" t="str">
        <f t="shared" si="36"/>
        <v/>
      </c>
      <c r="C286" s="272" t="str">
        <f t="shared" si="41"/>
        <v/>
      </c>
      <c r="D286" s="272" t="str">
        <f t="shared" si="44"/>
        <v/>
      </c>
      <c r="E286" s="273" t="e">
        <f t="shared" si="37"/>
        <v>#VALUE!</v>
      </c>
      <c r="F286" s="272" t="e">
        <f t="shared" si="38"/>
        <v>#VALUE!</v>
      </c>
      <c r="G286" s="272" t="str">
        <f t="shared" si="42"/>
        <v/>
      </c>
      <c r="H286" s="272" t="str">
        <f t="shared" si="43"/>
        <v/>
      </c>
      <c r="I286" s="272" t="e">
        <f t="shared" si="39"/>
        <v>#VALUE!</v>
      </c>
      <c r="J286" s="272">
        <f>SUM($H$18:$H286)</f>
        <v>0</v>
      </c>
    </row>
    <row r="287" spans="1:10" x14ac:dyDescent="0.2">
      <c r="A287" s="286" t="str">
        <f t="shared" si="40"/>
        <v/>
      </c>
      <c r="B287" s="270" t="str">
        <f t="shared" si="36"/>
        <v/>
      </c>
      <c r="C287" s="272" t="str">
        <f t="shared" si="41"/>
        <v/>
      </c>
      <c r="D287" s="272" t="str">
        <f t="shared" si="44"/>
        <v/>
      </c>
      <c r="E287" s="273" t="e">
        <f t="shared" si="37"/>
        <v>#VALUE!</v>
      </c>
      <c r="F287" s="272" t="e">
        <f t="shared" si="38"/>
        <v>#VALUE!</v>
      </c>
      <c r="G287" s="272" t="str">
        <f t="shared" si="42"/>
        <v/>
      </c>
      <c r="H287" s="272" t="str">
        <f t="shared" si="43"/>
        <v/>
      </c>
      <c r="I287" s="272" t="e">
        <f t="shared" si="39"/>
        <v>#VALUE!</v>
      </c>
      <c r="J287" s="272">
        <f>SUM($H$18:$H287)</f>
        <v>0</v>
      </c>
    </row>
    <row r="288" spans="1:10" x14ac:dyDescent="0.2">
      <c r="A288" s="286" t="str">
        <f t="shared" si="40"/>
        <v/>
      </c>
      <c r="B288" s="270" t="str">
        <f t="shared" si="36"/>
        <v/>
      </c>
      <c r="C288" s="272" t="str">
        <f t="shared" si="41"/>
        <v/>
      </c>
      <c r="D288" s="272" t="str">
        <f t="shared" si="44"/>
        <v/>
      </c>
      <c r="E288" s="273" t="e">
        <f t="shared" si="37"/>
        <v>#VALUE!</v>
      </c>
      <c r="F288" s="272" t="e">
        <f t="shared" si="38"/>
        <v>#VALUE!</v>
      </c>
      <c r="G288" s="272" t="str">
        <f t="shared" si="42"/>
        <v/>
      </c>
      <c r="H288" s="272" t="str">
        <f t="shared" si="43"/>
        <v/>
      </c>
      <c r="I288" s="272" t="e">
        <f t="shared" si="39"/>
        <v>#VALUE!</v>
      </c>
      <c r="J288" s="272">
        <f>SUM($H$18:$H288)</f>
        <v>0</v>
      </c>
    </row>
    <row r="289" spans="1:10" x14ac:dyDescent="0.2">
      <c r="A289" s="286" t="str">
        <f t="shared" si="40"/>
        <v/>
      </c>
      <c r="B289" s="270" t="str">
        <f t="shared" si="36"/>
        <v/>
      </c>
      <c r="C289" s="272" t="str">
        <f t="shared" si="41"/>
        <v/>
      </c>
      <c r="D289" s="272" t="str">
        <f t="shared" si="44"/>
        <v/>
      </c>
      <c r="E289" s="273" t="e">
        <f t="shared" si="37"/>
        <v>#VALUE!</v>
      </c>
      <c r="F289" s="272" t="e">
        <f t="shared" si="38"/>
        <v>#VALUE!</v>
      </c>
      <c r="G289" s="272" t="str">
        <f t="shared" si="42"/>
        <v/>
      </c>
      <c r="H289" s="272" t="str">
        <f t="shared" si="43"/>
        <v/>
      </c>
      <c r="I289" s="272" t="e">
        <f t="shared" si="39"/>
        <v>#VALUE!</v>
      </c>
      <c r="J289" s="272">
        <f>SUM($H$18:$H289)</f>
        <v>0</v>
      </c>
    </row>
    <row r="290" spans="1:10" x14ac:dyDescent="0.2">
      <c r="A290" s="286" t="str">
        <f t="shared" si="40"/>
        <v/>
      </c>
      <c r="B290" s="270" t="str">
        <f t="shared" si="36"/>
        <v/>
      </c>
      <c r="C290" s="272" t="str">
        <f t="shared" si="41"/>
        <v/>
      </c>
      <c r="D290" s="272" t="str">
        <f t="shared" si="44"/>
        <v/>
      </c>
      <c r="E290" s="273" t="e">
        <f t="shared" si="37"/>
        <v>#VALUE!</v>
      </c>
      <c r="F290" s="272" t="e">
        <f t="shared" si="38"/>
        <v>#VALUE!</v>
      </c>
      <c r="G290" s="272" t="str">
        <f t="shared" si="42"/>
        <v/>
      </c>
      <c r="H290" s="272" t="str">
        <f t="shared" si="43"/>
        <v/>
      </c>
      <c r="I290" s="272" t="e">
        <f t="shared" si="39"/>
        <v>#VALUE!</v>
      </c>
      <c r="J290" s="272">
        <f>SUM($H$18:$H290)</f>
        <v>0</v>
      </c>
    </row>
    <row r="291" spans="1:10" x14ac:dyDescent="0.2">
      <c r="A291" s="286" t="str">
        <f t="shared" si="40"/>
        <v/>
      </c>
      <c r="B291" s="270" t="str">
        <f t="shared" si="36"/>
        <v/>
      </c>
      <c r="C291" s="272" t="str">
        <f t="shared" si="41"/>
        <v/>
      </c>
      <c r="D291" s="272" t="str">
        <f t="shared" si="44"/>
        <v/>
      </c>
      <c r="E291" s="273" t="e">
        <f t="shared" si="37"/>
        <v>#VALUE!</v>
      </c>
      <c r="F291" s="272" t="e">
        <f t="shared" si="38"/>
        <v>#VALUE!</v>
      </c>
      <c r="G291" s="272" t="str">
        <f t="shared" si="42"/>
        <v/>
      </c>
      <c r="H291" s="272" t="str">
        <f t="shared" si="43"/>
        <v/>
      </c>
      <c r="I291" s="272" t="e">
        <f t="shared" si="39"/>
        <v>#VALUE!</v>
      </c>
      <c r="J291" s="272">
        <f>SUM($H$18:$H291)</f>
        <v>0</v>
      </c>
    </row>
    <row r="292" spans="1:10" x14ac:dyDescent="0.2">
      <c r="A292" s="286" t="str">
        <f t="shared" si="40"/>
        <v/>
      </c>
      <c r="B292" s="270" t="str">
        <f t="shared" si="36"/>
        <v/>
      </c>
      <c r="C292" s="272" t="str">
        <f t="shared" si="41"/>
        <v/>
      </c>
      <c r="D292" s="272" t="str">
        <f t="shared" si="44"/>
        <v/>
      </c>
      <c r="E292" s="273" t="e">
        <f t="shared" si="37"/>
        <v>#VALUE!</v>
      </c>
      <c r="F292" s="272" t="e">
        <f t="shared" si="38"/>
        <v>#VALUE!</v>
      </c>
      <c r="G292" s="272" t="str">
        <f t="shared" si="42"/>
        <v/>
      </c>
      <c r="H292" s="272" t="str">
        <f t="shared" si="43"/>
        <v/>
      </c>
      <c r="I292" s="272" t="e">
        <f t="shared" si="39"/>
        <v>#VALUE!</v>
      </c>
      <c r="J292" s="272">
        <f>SUM($H$18:$H292)</f>
        <v>0</v>
      </c>
    </row>
    <row r="293" spans="1:10" x14ac:dyDescent="0.2">
      <c r="A293" s="286" t="str">
        <f t="shared" si="40"/>
        <v/>
      </c>
      <c r="B293" s="270" t="str">
        <f t="shared" si="36"/>
        <v/>
      </c>
      <c r="C293" s="272" t="str">
        <f t="shared" si="41"/>
        <v/>
      </c>
      <c r="D293" s="272" t="str">
        <f t="shared" si="44"/>
        <v/>
      </c>
      <c r="E293" s="273" t="e">
        <f t="shared" si="37"/>
        <v>#VALUE!</v>
      </c>
      <c r="F293" s="272" t="e">
        <f t="shared" si="38"/>
        <v>#VALUE!</v>
      </c>
      <c r="G293" s="272" t="str">
        <f t="shared" si="42"/>
        <v/>
      </c>
      <c r="H293" s="272" t="str">
        <f t="shared" si="43"/>
        <v/>
      </c>
      <c r="I293" s="272" t="e">
        <f t="shared" si="39"/>
        <v>#VALUE!</v>
      </c>
      <c r="J293" s="272">
        <f>SUM($H$18:$H293)</f>
        <v>0</v>
      </c>
    </row>
    <row r="294" spans="1:10" x14ac:dyDescent="0.2">
      <c r="A294" s="286" t="str">
        <f t="shared" si="40"/>
        <v/>
      </c>
      <c r="B294" s="270" t="str">
        <f t="shared" si="36"/>
        <v/>
      </c>
      <c r="C294" s="272" t="str">
        <f t="shared" si="41"/>
        <v/>
      </c>
      <c r="D294" s="272" t="str">
        <f t="shared" si="44"/>
        <v/>
      </c>
      <c r="E294" s="273" t="e">
        <f t="shared" si="37"/>
        <v>#VALUE!</v>
      </c>
      <c r="F294" s="272" t="e">
        <f t="shared" si="38"/>
        <v>#VALUE!</v>
      </c>
      <c r="G294" s="272" t="str">
        <f t="shared" si="42"/>
        <v/>
      </c>
      <c r="H294" s="272" t="str">
        <f t="shared" si="43"/>
        <v/>
      </c>
      <c r="I294" s="272" t="e">
        <f t="shared" si="39"/>
        <v>#VALUE!</v>
      </c>
      <c r="J294" s="272">
        <f>SUM($H$18:$H294)</f>
        <v>0</v>
      </c>
    </row>
    <row r="295" spans="1:10" x14ac:dyDescent="0.2">
      <c r="A295" s="286" t="str">
        <f t="shared" si="40"/>
        <v/>
      </c>
      <c r="B295" s="270" t="str">
        <f t="shared" si="36"/>
        <v/>
      </c>
      <c r="C295" s="272" t="str">
        <f t="shared" si="41"/>
        <v/>
      </c>
      <c r="D295" s="272" t="str">
        <f t="shared" si="44"/>
        <v/>
      </c>
      <c r="E295" s="273" t="e">
        <f t="shared" si="37"/>
        <v>#VALUE!</v>
      </c>
      <c r="F295" s="272" t="e">
        <f t="shared" si="38"/>
        <v>#VALUE!</v>
      </c>
      <c r="G295" s="272" t="str">
        <f t="shared" si="42"/>
        <v/>
      </c>
      <c r="H295" s="272" t="str">
        <f t="shared" si="43"/>
        <v/>
      </c>
      <c r="I295" s="272" t="e">
        <f t="shared" si="39"/>
        <v>#VALUE!</v>
      </c>
      <c r="J295" s="272">
        <f>SUM($H$18:$H295)</f>
        <v>0</v>
      </c>
    </row>
    <row r="296" spans="1:10" x14ac:dyDescent="0.2">
      <c r="A296" s="286" t="str">
        <f t="shared" si="40"/>
        <v/>
      </c>
      <c r="B296" s="270" t="str">
        <f t="shared" si="36"/>
        <v/>
      </c>
      <c r="C296" s="272" t="str">
        <f t="shared" si="41"/>
        <v/>
      </c>
      <c r="D296" s="272" t="str">
        <f t="shared" si="44"/>
        <v/>
      </c>
      <c r="E296" s="273" t="e">
        <f t="shared" si="37"/>
        <v>#VALUE!</v>
      </c>
      <c r="F296" s="272" t="e">
        <f t="shared" si="38"/>
        <v>#VALUE!</v>
      </c>
      <c r="G296" s="272" t="str">
        <f t="shared" si="42"/>
        <v/>
      </c>
      <c r="H296" s="272" t="str">
        <f t="shared" si="43"/>
        <v/>
      </c>
      <c r="I296" s="272" t="e">
        <f t="shared" si="39"/>
        <v>#VALUE!</v>
      </c>
      <c r="J296" s="272">
        <f>SUM($H$18:$H296)</f>
        <v>0</v>
      </c>
    </row>
    <row r="297" spans="1:10" x14ac:dyDescent="0.2">
      <c r="A297" s="286" t="str">
        <f t="shared" si="40"/>
        <v/>
      </c>
      <c r="B297" s="270" t="str">
        <f t="shared" si="36"/>
        <v/>
      </c>
      <c r="C297" s="272" t="str">
        <f t="shared" si="41"/>
        <v/>
      </c>
      <c r="D297" s="272" t="str">
        <f t="shared" si="44"/>
        <v/>
      </c>
      <c r="E297" s="273" t="e">
        <f t="shared" si="37"/>
        <v>#VALUE!</v>
      </c>
      <c r="F297" s="272" t="e">
        <f t="shared" si="38"/>
        <v>#VALUE!</v>
      </c>
      <c r="G297" s="272" t="str">
        <f t="shared" si="42"/>
        <v/>
      </c>
      <c r="H297" s="272" t="str">
        <f t="shared" si="43"/>
        <v/>
      </c>
      <c r="I297" s="272" t="e">
        <f t="shared" si="39"/>
        <v>#VALUE!</v>
      </c>
      <c r="J297" s="272">
        <f>SUM($H$18:$H297)</f>
        <v>0</v>
      </c>
    </row>
    <row r="298" spans="1:10" x14ac:dyDescent="0.2">
      <c r="A298" s="286" t="str">
        <f t="shared" si="40"/>
        <v/>
      </c>
      <c r="B298" s="270" t="str">
        <f t="shared" si="36"/>
        <v/>
      </c>
      <c r="C298" s="272" t="str">
        <f t="shared" si="41"/>
        <v/>
      </c>
      <c r="D298" s="272" t="str">
        <f t="shared" si="44"/>
        <v/>
      </c>
      <c r="E298" s="273" t="e">
        <f t="shared" si="37"/>
        <v>#VALUE!</v>
      </c>
      <c r="F298" s="272" t="e">
        <f t="shared" si="38"/>
        <v>#VALUE!</v>
      </c>
      <c r="G298" s="272" t="str">
        <f t="shared" si="42"/>
        <v/>
      </c>
      <c r="H298" s="272" t="str">
        <f t="shared" si="43"/>
        <v/>
      </c>
      <c r="I298" s="272" t="e">
        <f t="shared" si="39"/>
        <v>#VALUE!</v>
      </c>
      <c r="J298" s="272">
        <f>SUM($H$18:$H298)</f>
        <v>0</v>
      </c>
    </row>
    <row r="299" spans="1:10" x14ac:dyDescent="0.2">
      <c r="A299" s="286" t="str">
        <f t="shared" si="40"/>
        <v/>
      </c>
      <c r="B299" s="270" t="str">
        <f t="shared" si="36"/>
        <v/>
      </c>
      <c r="C299" s="272" t="str">
        <f t="shared" si="41"/>
        <v/>
      </c>
      <c r="D299" s="272" t="str">
        <f t="shared" si="44"/>
        <v/>
      </c>
      <c r="E299" s="273" t="e">
        <f t="shared" si="37"/>
        <v>#VALUE!</v>
      </c>
      <c r="F299" s="272" t="e">
        <f t="shared" si="38"/>
        <v>#VALUE!</v>
      </c>
      <c r="G299" s="272" t="str">
        <f t="shared" si="42"/>
        <v/>
      </c>
      <c r="H299" s="272" t="str">
        <f t="shared" si="43"/>
        <v/>
      </c>
      <c r="I299" s="272" t="e">
        <f t="shared" si="39"/>
        <v>#VALUE!</v>
      </c>
      <c r="J299" s="272">
        <f>SUM($H$18:$H299)</f>
        <v>0</v>
      </c>
    </row>
    <row r="300" spans="1:10" x14ac:dyDescent="0.2">
      <c r="A300" s="286" t="str">
        <f t="shared" si="40"/>
        <v/>
      </c>
      <c r="B300" s="270" t="str">
        <f t="shared" si="36"/>
        <v/>
      </c>
      <c r="C300" s="272" t="str">
        <f t="shared" si="41"/>
        <v/>
      </c>
      <c r="D300" s="272" t="str">
        <f t="shared" si="44"/>
        <v/>
      </c>
      <c r="E300" s="273" t="e">
        <f t="shared" si="37"/>
        <v>#VALUE!</v>
      </c>
      <c r="F300" s="272" t="e">
        <f t="shared" si="38"/>
        <v>#VALUE!</v>
      </c>
      <c r="G300" s="272" t="str">
        <f t="shared" si="42"/>
        <v/>
      </c>
      <c r="H300" s="272" t="str">
        <f t="shared" si="43"/>
        <v/>
      </c>
      <c r="I300" s="272" t="e">
        <f t="shared" si="39"/>
        <v>#VALUE!</v>
      </c>
      <c r="J300" s="272">
        <f>SUM($H$18:$H300)</f>
        <v>0</v>
      </c>
    </row>
    <row r="301" spans="1:10" x14ac:dyDescent="0.2">
      <c r="A301" s="286" t="str">
        <f t="shared" si="40"/>
        <v/>
      </c>
      <c r="B301" s="270" t="str">
        <f t="shared" si="36"/>
        <v/>
      </c>
      <c r="C301" s="272" t="str">
        <f t="shared" si="41"/>
        <v/>
      </c>
      <c r="D301" s="272" t="str">
        <f t="shared" si="44"/>
        <v/>
      </c>
      <c r="E301" s="273" t="e">
        <f t="shared" si="37"/>
        <v>#VALUE!</v>
      </c>
      <c r="F301" s="272" t="e">
        <f t="shared" si="38"/>
        <v>#VALUE!</v>
      </c>
      <c r="G301" s="272" t="str">
        <f t="shared" si="42"/>
        <v/>
      </c>
      <c r="H301" s="272" t="str">
        <f t="shared" si="43"/>
        <v/>
      </c>
      <c r="I301" s="272" t="e">
        <f t="shared" si="39"/>
        <v>#VALUE!</v>
      </c>
      <c r="J301" s="272">
        <f>SUM($H$18:$H301)</f>
        <v>0</v>
      </c>
    </row>
    <row r="302" spans="1:10" x14ac:dyDescent="0.2">
      <c r="A302" s="286" t="str">
        <f t="shared" si="40"/>
        <v/>
      </c>
      <c r="B302" s="270" t="str">
        <f t="shared" si="36"/>
        <v/>
      </c>
      <c r="C302" s="272" t="str">
        <f t="shared" si="41"/>
        <v/>
      </c>
      <c r="D302" s="272" t="str">
        <f t="shared" si="44"/>
        <v/>
      </c>
      <c r="E302" s="273" t="e">
        <f t="shared" si="37"/>
        <v>#VALUE!</v>
      </c>
      <c r="F302" s="272" t="e">
        <f t="shared" si="38"/>
        <v>#VALUE!</v>
      </c>
      <c r="G302" s="272" t="str">
        <f t="shared" si="42"/>
        <v/>
      </c>
      <c r="H302" s="272" t="str">
        <f t="shared" si="43"/>
        <v/>
      </c>
      <c r="I302" s="272" t="e">
        <f t="shared" si="39"/>
        <v>#VALUE!</v>
      </c>
      <c r="J302" s="272">
        <f>SUM($H$18:$H302)</f>
        <v>0</v>
      </c>
    </row>
    <row r="303" spans="1:10" x14ac:dyDescent="0.2">
      <c r="A303" s="286" t="str">
        <f t="shared" si="40"/>
        <v/>
      </c>
      <c r="B303" s="270" t="str">
        <f t="shared" si="36"/>
        <v/>
      </c>
      <c r="C303" s="272" t="str">
        <f t="shared" si="41"/>
        <v/>
      </c>
      <c r="D303" s="272" t="str">
        <f t="shared" si="44"/>
        <v/>
      </c>
      <c r="E303" s="273" t="e">
        <f t="shared" si="37"/>
        <v>#VALUE!</v>
      </c>
      <c r="F303" s="272" t="e">
        <f t="shared" si="38"/>
        <v>#VALUE!</v>
      </c>
      <c r="G303" s="272" t="str">
        <f t="shared" si="42"/>
        <v/>
      </c>
      <c r="H303" s="272" t="str">
        <f t="shared" si="43"/>
        <v/>
      </c>
      <c r="I303" s="272" t="e">
        <f t="shared" si="39"/>
        <v>#VALUE!</v>
      </c>
      <c r="J303" s="272">
        <f>SUM($H$18:$H303)</f>
        <v>0</v>
      </c>
    </row>
    <row r="304" spans="1:10" x14ac:dyDescent="0.2">
      <c r="A304" s="286" t="str">
        <f t="shared" si="40"/>
        <v/>
      </c>
      <c r="B304" s="270" t="str">
        <f t="shared" si="36"/>
        <v/>
      </c>
      <c r="C304" s="272" t="str">
        <f t="shared" si="41"/>
        <v/>
      </c>
      <c r="D304" s="272" t="str">
        <f t="shared" si="44"/>
        <v/>
      </c>
      <c r="E304" s="273" t="e">
        <f t="shared" si="37"/>
        <v>#VALUE!</v>
      </c>
      <c r="F304" s="272" t="e">
        <f t="shared" si="38"/>
        <v>#VALUE!</v>
      </c>
      <c r="G304" s="272" t="str">
        <f t="shared" si="42"/>
        <v/>
      </c>
      <c r="H304" s="272" t="str">
        <f t="shared" si="43"/>
        <v/>
      </c>
      <c r="I304" s="272" t="e">
        <f t="shared" si="39"/>
        <v>#VALUE!</v>
      </c>
      <c r="J304" s="272">
        <f>SUM($H$18:$H304)</f>
        <v>0</v>
      </c>
    </row>
    <row r="305" spans="1:10" x14ac:dyDescent="0.2">
      <c r="A305" s="286" t="str">
        <f t="shared" si="40"/>
        <v/>
      </c>
      <c r="B305" s="270" t="str">
        <f t="shared" si="36"/>
        <v/>
      </c>
      <c r="C305" s="272" t="str">
        <f t="shared" si="41"/>
        <v/>
      </c>
      <c r="D305" s="272" t="str">
        <f t="shared" si="44"/>
        <v/>
      </c>
      <c r="E305" s="273" t="e">
        <f t="shared" si="37"/>
        <v>#VALUE!</v>
      </c>
      <c r="F305" s="272" t="e">
        <f t="shared" si="38"/>
        <v>#VALUE!</v>
      </c>
      <c r="G305" s="272" t="str">
        <f t="shared" si="42"/>
        <v/>
      </c>
      <c r="H305" s="272" t="str">
        <f t="shared" si="43"/>
        <v/>
      </c>
      <c r="I305" s="272" t="e">
        <f t="shared" si="39"/>
        <v>#VALUE!</v>
      </c>
      <c r="J305" s="272">
        <f>SUM($H$18:$H305)</f>
        <v>0</v>
      </c>
    </row>
    <row r="306" spans="1:10" x14ac:dyDescent="0.2">
      <c r="A306" s="286" t="str">
        <f t="shared" si="40"/>
        <v/>
      </c>
      <c r="B306" s="270" t="str">
        <f t="shared" si="36"/>
        <v/>
      </c>
      <c r="C306" s="272" t="str">
        <f t="shared" si="41"/>
        <v/>
      </c>
      <c r="D306" s="272" t="str">
        <f t="shared" si="44"/>
        <v/>
      </c>
      <c r="E306" s="273" t="e">
        <f t="shared" si="37"/>
        <v>#VALUE!</v>
      </c>
      <c r="F306" s="272" t="e">
        <f t="shared" si="38"/>
        <v>#VALUE!</v>
      </c>
      <c r="G306" s="272" t="str">
        <f t="shared" si="42"/>
        <v/>
      </c>
      <c r="H306" s="272" t="str">
        <f t="shared" si="43"/>
        <v/>
      </c>
      <c r="I306" s="272" t="e">
        <f t="shared" si="39"/>
        <v>#VALUE!</v>
      </c>
      <c r="J306" s="272">
        <f>SUM($H$18:$H306)</f>
        <v>0</v>
      </c>
    </row>
    <row r="307" spans="1:10" x14ac:dyDescent="0.2">
      <c r="A307" s="286" t="str">
        <f t="shared" si="40"/>
        <v/>
      </c>
      <c r="B307" s="270" t="str">
        <f t="shared" si="36"/>
        <v/>
      </c>
      <c r="C307" s="272" t="str">
        <f t="shared" si="41"/>
        <v/>
      </c>
      <c r="D307" s="272" t="str">
        <f t="shared" si="44"/>
        <v/>
      </c>
      <c r="E307" s="273" t="e">
        <f t="shared" si="37"/>
        <v>#VALUE!</v>
      </c>
      <c r="F307" s="272" t="e">
        <f t="shared" si="38"/>
        <v>#VALUE!</v>
      </c>
      <c r="G307" s="272" t="str">
        <f t="shared" si="42"/>
        <v/>
      </c>
      <c r="H307" s="272" t="str">
        <f t="shared" si="43"/>
        <v/>
      </c>
      <c r="I307" s="272" t="e">
        <f t="shared" si="39"/>
        <v>#VALUE!</v>
      </c>
      <c r="J307" s="272">
        <f>SUM($H$18:$H307)</f>
        <v>0</v>
      </c>
    </row>
    <row r="308" spans="1:10" x14ac:dyDescent="0.2">
      <c r="A308" s="286" t="str">
        <f t="shared" si="40"/>
        <v/>
      </c>
      <c r="B308" s="270" t="str">
        <f t="shared" si="36"/>
        <v/>
      </c>
      <c r="C308" s="272" t="str">
        <f t="shared" si="41"/>
        <v/>
      </c>
      <c r="D308" s="272" t="str">
        <f t="shared" si="44"/>
        <v/>
      </c>
      <c r="E308" s="273" t="e">
        <f t="shared" si="37"/>
        <v>#VALUE!</v>
      </c>
      <c r="F308" s="272" t="e">
        <f t="shared" si="38"/>
        <v>#VALUE!</v>
      </c>
      <c r="G308" s="272" t="str">
        <f t="shared" si="42"/>
        <v/>
      </c>
      <c r="H308" s="272" t="str">
        <f t="shared" si="43"/>
        <v/>
      </c>
      <c r="I308" s="272" t="e">
        <f t="shared" si="39"/>
        <v>#VALUE!</v>
      </c>
      <c r="J308" s="272">
        <f>SUM($H$18:$H308)</f>
        <v>0</v>
      </c>
    </row>
    <row r="309" spans="1:10" x14ac:dyDescent="0.2">
      <c r="A309" s="286" t="str">
        <f t="shared" si="40"/>
        <v/>
      </c>
      <c r="B309" s="270" t="str">
        <f t="shared" si="36"/>
        <v/>
      </c>
      <c r="C309" s="272" t="str">
        <f t="shared" si="41"/>
        <v/>
      </c>
      <c r="D309" s="272" t="str">
        <f t="shared" si="44"/>
        <v/>
      </c>
      <c r="E309" s="273" t="e">
        <f t="shared" si="37"/>
        <v>#VALUE!</v>
      </c>
      <c r="F309" s="272" t="e">
        <f t="shared" si="38"/>
        <v>#VALUE!</v>
      </c>
      <c r="G309" s="272" t="str">
        <f t="shared" si="42"/>
        <v/>
      </c>
      <c r="H309" s="272" t="str">
        <f t="shared" si="43"/>
        <v/>
      </c>
      <c r="I309" s="272" t="e">
        <f t="shared" si="39"/>
        <v>#VALUE!</v>
      </c>
      <c r="J309" s="272">
        <f>SUM($H$18:$H309)</f>
        <v>0</v>
      </c>
    </row>
    <row r="310" spans="1:10" x14ac:dyDescent="0.2">
      <c r="A310" s="286" t="str">
        <f t="shared" si="40"/>
        <v/>
      </c>
      <c r="B310" s="270" t="str">
        <f t="shared" si="36"/>
        <v/>
      </c>
      <c r="C310" s="272" t="str">
        <f t="shared" si="41"/>
        <v/>
      </c>
      <c r="D310" s="272" t="str">
        <f t="shared" si="44"/>
        <v/>
      </c>
      <c r="E310" s="273" t="e">
        <f t="shared" si="37"/>
        <v>#VALUE!</v>
      </c>
      <c r="F310" s="272" t="e">
        <f t="shared" si="38"/>
        <v>#VALUE!</v>
      </c>
      <c r="G310" s="272" t="str">
        <f t="shared" si="42"/>
        <v/>
      </c>
      <c r="H310" s="272" t="str">
        <f t="shared" si="43"/>
        <v/>
      </c>
      <c r="I310" s="272" t="e">
        <f t="shared" si="39"/>
        <v>#VALUE!</v>
      </c>
      <c r="J310" s="272">
        <f>SUM($H$18:$H310)</f>
        <v>0</v>
      </c>
    </row>
    <row r="311" spans="1:10" x14ac:dyDescent="0.2">
      <c r="A311" s="286" t="str">
        <f t="shared" si="40"/>
        <v/>
      </c>
      <c r="B311" s="270" t="str">
        <f t="shared" si="36"/>
        <v/>
      </c>
      <c r="C311" s="272" t="str">
        <f t="shared" si="41"/>
        <v/>
      </c>
      <c r="D311" s="272" t="str">
        <f t="shared" si="44"/>
        <v/>
      </c>
      <c r="E311" s="273" t="e">
        <f t="shared" si="37"/>
        <v>#VALUE!</v>
      </c>
      <c r="F311" s="272" t="e">
        <f t="shared" si="38"/>
        <v>#VALUE!</v>
      </c>
      <c r="G311" s="272" t="str">
        <f t="shared" si="42"/>
        <v/>
      </c>
      <c r="H311" s="272" t="str">
        <f t="shared" si="43"/>
        <v/>
      </c>
      <c r="I311" s="272" t="e">
        <f t="shared" si="39"/>
        <v>#VALUE!</v>
      </c>
      <c r="J311" s="272">
        <f>SUM($H$18:$H311)</f>
        <v>0</v>
      </c>
    </row>
    <row r="312" spans="1:10" x14ac:dyDescent="0.2">
      <c r="A312" s="286" t="str">
        <f t="shared" si="40"/>
        <v/>
      </c>
      <c r="B312" s="270" t="str">
        <f t="shared" si="36"/>
        <v/>
      </c>
      <c r="C312" s="272" t="str">
        <f t="shared" si="41"/>
        <v/>
      </c>
      <c r="D312" s="272" t="str">
        <f t="shared" si="44"/>
        <v/>
      </c>
      <c r="E312" s="273" t="e">
        <f t="shared" si="37"/>
        <v>#VALUE!</v>
      </c>
      <c r="F312" s="272" t="e">
        <f t="shared" si="38"/>
        <v>#VALUE!</v>
      </c>
      <c r="G312" s="272" t="str">
        <f t="shared" si="42"/>
        <v/>
      </c>
      <c r="H312" s="272" t="str">
        <f t="shared" si="43"/>
        <v/>
      </c>
      <c r="I312" s="272" t="e">
        <f t="shared" si="39"/>
        <v>#VALUE!</v>
      </c>
      <c r="J312" s="272">
        <f>SUM($H$18:$H312)</f>
        <v>0</v>
      </c>
    </row>
    <row r="313" spans="1:10" x14ac:dyDescent="0.2">
      <c r="A313" s="286" t="str">
        <f t="shared" si="40"/>
        <v/>
      </c>
      <c r="B313" s="270" t="str">
        <f t="shared" si="36"/>
        <v/>
      </c>
      <c r="C313" s="272" t="str">
        <f t="shared" si="41"/>
        <v/>
      </c>
      <c r="D313" s="272" t="str">
        <f t="shared" si="44"/>
        <v/>
      </c>
      <c r="E313" s="273" t="e">
        <f t="shared" si="37"/>
        <v>#VALUE!</v>
      </c>
      <c r="F313" s="272" t="e">
        <f t="shared" si="38"/>
        <v>#VALUE!</v>
      </c>
      <c r="G313" s="272" t="str">
        <f t="shared" si="42"/>
        <v/>
      </c>
      <c r="H313" s="272" t="str">
        <f t="shared" si="43"/>
        <v/>
      </c>
      <c r="I313" s="272" t="e">
        <f t="shared" si="39"/>
        <v>#VALUE!</v>
      </c>
      <c r="J313" s="272">
        <f>SUM($H$18:$H313)</f>
        <v>0</v>
      </c>
    </row>
    <row r="314" spans="1:10" x14ac:dyDescent="0.2">
      <c r="A314" s="286" t="str">
        <f t="shared" si="40"/>
        <v/>
      </c>
      <c r="B314" s="270" t="str">
        <f t="shared" si="36"/>
        <v/>
      </c>
      <c r="C314" s="272" t="str">
        <f t="shared" si="41"/>
        <v/>
      </c>
      <c r="D314" s="272" t="str">
        <f t="shared" si="44"/>
        <v/>
      </c>
      <c r="E314" s="273" t="e">
        <f t="shared" si="37"/>
        <v>#VALUE!</v>
      </c>
      <c r="F314" s="272" t="e">
        <f t="shared" si="38"/>
        <v>#VALUE!</v>
      </c>
      <c r="G314" s="272" t="str">
        <f t="shared" si="42"/>
        <v/>
      </c>
      <c r="H314" s="272" t="str">
        <f t="shared" si="43"/>
        <v/>
      </c>
      <c r="I314" s="272" t="e">
        <f t="shared" si="39"/>
        <v>#VALUE!</v>
      </c>
      <c r="J314" s="272">
        <f>SUM($H$18:$H314)</f>
        <v>0</v>
      </c>
    </row>
    <row r="315" spans="1:10" x14ac:dyDescent="0.2">
      <c r="A315" s="286" t="str">
        <f t="shared" si="40"/>
        <v/>
      </c>
      <c r="B315" s="270" t="str">
        <f t="shared" si="36"/>
        <v/>
      </c>
      <c r="C315" s="272" t="str">
        <f t="shared" si="41"/>
        <v/>
      </c>
      <c r="D315" s="272" t="str">
        <f t="shared" si="44"/>
        <v/>
      </c>
      <c r="E315" s="273" t="e">
        <f t="shared" si="37"/>
        <v>#VALUE!</v>
      </c>
      <c r="F315" s="272" t="e">
        <f t="shared" si="38"/>
        <v>#VALUE!</v>
      </c>
      <c r="G315" s="272" t="str">
        <f t="shared" si="42"/>
        <v/>
      </c>
      <c r="H315" s="272" t="str">
        <f t="shared" si="43"/>
        <v/>
      </c>
      <c r="I315" s="272" t="e">
        <f t="shared" si="39"/>
        <v>#VALUE!</v>
      </c>
      <c r="J315" s="272">
        <f>SUM($H$18:$H315)</f>
        <v>0</v>
      </c>
    </row>
    <row r="316" spans="1:10" x14ac:dyDescent="0.2">
      <c r="A316" s="286" t="str">
        <f t="shared" si="40"/>
        <v/>
      </c>
      <c r="B316" s="270" t="str">
        <f t="shared" si="36"/>
        <v/>
      </c>
      <c r="C316" s="272" t="str">
        <f t="shared" si="41"/>
        <v/>
      </c>
      <c r="D316" s="272" t="str">
        <f t="shared" si="44"/>
        <v/>
      </c>
      <c r="E316" s="273" t="e">
        <f t="shared" si="37"/>
        <v>#VALUE!</v>
      </c>
      <c r="F316" s="272" t="e">
        <f t="shared" si="38"/>
        <v>#VALUE!</v>
      </c>
      <c r="G316" s="272" t="str">
        <f t="shared" si="42"/>
        <v/>
      </c>
      <c r="H316" s="272" t="str">
        <f t="shared" si="43"/>
        <v/>
      </c>
      <c r="I316" s="272" t="e">
        <f t="shared" si="39"/>
        <v>#VALUE!</v>
      </c>
      <c r="J316" s="272">
        <f>SUM($H$18:$H316)</f>
        <v>0</v>
      </c>
    </row>
    <row r="317" spans="1:10" x14ac:dyDescent="0.2">
      <c r="A317" s="286" t="str">
        <f t="shared" si="40"/>
        <v/>
      </c>
      <c r="B317" s="270" t="str">
        <f t="shared" si="36"/>
        <v/>
      </c>
      <c r="C317" s="272" t="str">
        <f t="shared" si="41"/>
        <v/>
      </c>
      <c r="D317" s="272" t="str">
        <f t="shared" si="44"/>
        <v/>
      </c>
      <c r="E317" s="273" t="e">
        <f t="shared" si="37"/>
        <v>#VALUE!</v>
      </c>
      <c r="F317" s="272" t="e">
        <f t="shared" si="38"/>
        <v>#VALUE!</v>
      </c>
      <c r="G317" s="272" t="str">
        <f t="shared" si="42"/>
        <v/>
      </c>
      <c r="H317" s="272" t="str">
        <f t="shared" si="43"/>
        <v/>
      </c>
      <c r="I317" s="272" t="e">
        <f t="shared" si="39"/>
        <v>#VALUE!</v>
      </c>
      <c r="J317" s="272">
        <f>SUM($H$18:$H317)</f>
        <v>0</v>
      </c>
    </row>
    <row r="318" spans="1:10" x14ac:dyDescent="0.2">
      <c r="A318" s="286" t="str">
        <f t="shared" si="40"/>
        <v/>
      </c>
      <c r="B318" s="270" t="str">
        <f t="shared" si="36"/>
        <v/>
      </c>
      <c r="C318" s="272" t="str">
        <f t="shared" si="41"/>
        <v/>
      </c>
      <c r="D318" s="272" t="str">
        <f t="shared" si="44"/>
        <v/>
      </c>
      <c r="E318" s="273" t="e">
        <f t="shared" si="37"/>
        <v>#VALUE!</v>
      </c>
      <c r="F318" s="272" t="e">
        <f t="shared" si="38"/>
        <v>#VALUE!</v>
      </c>
      <c r="G318" s="272" t="str">
        <f t="shared" si="42"/>
        <v/>
      </c>
      <c r="H318" s="272" t="str">
        <f t="shared" si="43"/>
        <v/>
      </c>
      <c r="I318" s="272" t="e">
        <f t="shared" si="39"/>
        <v>#VALUE!</v>
      </c>
      <c r="J318" s="272">
        <f>SUM($H$18:$H318)</f>
        <v>0</v>
      </c>
    </row>
    <row r="319" spans="1:10" x14ac:dyDescent="0.2">
      <c r="A319" s="286" t="str">
        <f t="shared" si="40"/>
        <v/>
      </c>
      <c r="B319" s="270" t="str">
        <f t="shared" si="36"/>
        <v/>
      </c>
      <c r="C319" s="272" t="str">
        <f t="shared" si="41"/>
        <v/>
      </c>
      <c r="D319" s="272" t="str">
        <f t="shared" si="44"/>
        <v/>
      </c>
      <c r="E319" s="273" t="e">
        <f t="shared" si="37"/>
        <v>#VALUE!</v>
      </c>
      <c r="F319" s="272" t="e">
        <f t="shared" si="38"/>
        <v>#VALUE!</v>
      </c>
      <c r="G319" s="272" t="str">
        <f t="shared" si="42"/>
        <v/>
      </c>
      <c r="H319" s="272" t="str">
        <f t="shared" si="43"/>
        <v/>
      </c>
      <c r="I319" s="272" t="e">
        <f t="shared" si="39"/>
        <v>#VALUE!</v>
      </c>
      <c r="J319" s="272">
        <f>SUM($H$18:$H319)</f>
        <v>0</v>
      </c>
    </row>
    <row r="320" spans="1:10" x14ac:dyDescent="0.2">
      <c r="A320" s="286" t="str">
        <f t="shared" si="40"/>
        <v/>
      </c>
      <c r="B320" s="270" t="str">
        <f t="shared" si="36"/>
        <v/>
      </c>
      <c r="C320" s="272" t="str">
        <f t="shared" si="41"/>
        <v/>
      </c>
      <c r="D320" s="272" t="str">
        <f t="shared" si="44"/>
        <v/>
      </c>
      <c r="E320" s="273" t="e">
        <f t="shared" si="37"/>
        <v>#VALUE!</v>
      </c>
      <c r="F320" s="272" t="e">
        <f t="shared" si="38"/>
        <v>#VALUE!</v>
      </c>
      <c r="G320" s="272" t="str">
        <f t="shared" si="42"/>
        <v/>
      </c>
      <c r="H320" s="272" t="str">
        <f t="shared" si="43"/>
        <v/>
      </c>
      <c r="I320" s="272" t="e">
        <f t="shared" si="39"/>
        <v>#VALUE!</v>
      </c>
      <c r="J320" s="272">
        <f>SUM($H$18:$H320)</f>
        <v>0</v>
      </c>
    </row>
    <row r="321" spans="1:10" x14ac:dyDescent="0.2">
      <c r="A321" s="286" t="str">
        <f t="shared" si="40"/>
        <v/>
      </c>
      <c r="B321" s="270" t="str">
        <f t="shared" si="36"/>
        <v/>
      </c>
      <c r="C321" s="272" t="str">
        <f t="shared" si="41"/>
        <v/>
      </c>
      <c r="D321" s="272" t="str">
        <f t="shared" si="44"/>
        <v/>
      </c>
      <c r="E321" s="273" t="e">
        <f t="shared" si="37"/>
        <v>#VALUE!</v>
      </c>
      <c r="F321" s="272" t="e">
        <f t="shared" si="38"/>
        <v>#VALUE!</v>
      </c>
      <c r="G321" s="272" t="str">
        <f t="shared" si="42"/>
        <v/>
      </c>
      <c r="H321" s="272" t="str">
        <f t="shared" si="43"/>
        <v/>
      </c>
      <c r="I321" s="272" t="e">
        <f t="shared" si="39"/>
        <v>#VALUE!</v>
      </c>
      <c r="J321" s="272">
        <f>SUM($H$18:$H321)</f>
        <v>0</v>
      </c>
    </row>
    <row r="322" spans="1:10" x14ac:dyDescent="0.2">
      <c r="A322" s="286" t="str">
        <f t="shared" si="40"/>
        <v/>
      </c>
      <c r="B322" s="270" t="str">
        <f t="shared" si="36"/>
        <v/>
      </c>
      <c r="C322" s="272" t="str">
        <f t="shared" si="41"/>
        <v/>
      </c>
      <c r="D322" s="272" t="str">
        <f t="shared" si="44"/>
        <v/>
      </c>
      <c r="E322" s="273" t="e">
        <f t="shared" si="37"/>
        <v>#VALUE!</v>
      </c>
      <c r="F322" s="272" t="e">
        <f t="shared" si="38"/>
        <v>#VALUE!</v>
      </c>
      <c r="G322" s="272" t="str">
        <f t="shared" si="42"/>
        <v/>
      </c>
      <c r="H322" s="272" t="str">
        <f t="shared" si="43"/>
        <v/>
      </c>
      <c r="I322" s="272" t="e">
        <f t="shared" si="39"/>
        <v>#VALUE!</v>
      </c>
      <c r="J322" s="272">
        <f>SUM($H$18:$H322)</f>
        <v>0</v>
      </c>
    </row>
    <row r="323" spans="1:10" x14ac:dyDescent="0.2">
      <c r="A323" s="286" t="str">
        <f t="shared" si="40"/>
        <v/>
      </c>
      <c r="B323" s="270" t="str">
        <f t="shared" si="36"/>
        <v/>
      </c>
      <c r="C323" s="272" t="str">
        <f t="shared" si="41"/>
        <v/>
      </c>
      <c r="D323" s="272" t="str">
        <f t="shared" si="44"/>
        <v/>
      </c>
      <c r="E323" s="273" t="e">
        <f t="shared" si="37"/>
        <v>#VALUE!</v>
      </c>
      <c r="F323" s="272" t="e">
        <f t="shared" si="38"/>
        <v>#VALUE!</v>
      </c>
      <c r="G323" s="272" t="str">
        <f t="shared" si="42"/>
        <v/>
      </c>
      <c r="H323" s="272" t="str">
        <f t="shared" si="43"/>
        <v/>
      </c>
      <c r="I323" s="272" t="e">
        <f t="shared" si="39"/>
        <v>#VALUE!</v>
      </c>
      <c r="J323" s="272">
        <f>SUM($H$18:$H323)</f>
        <v>0</v>
      </c>
    </row>
    <row r="324" spans="1:10" x14ac:dyDescent="0.2">
      <c r="A324" s="286" t="str">
        <f t="shared" si="40"/>
        <v/>
      </c>
      <c r="B324" s="270" t="str">
        <f t="shared" si="36"/>
        <v/>
      </c>
      <c r="C324" s="272" t="str">
        <f t="shared" si="41"/>
        <v/>
      </c>
      <c r="D324" s="272" t="str">
        <f t="shared" si="44"/>
        <v/>
      </c>
      <c r="E324" s="273" t="e">
        <f t="shared" si="37"/>
        <v>#VALUE!</v>
      </c>
      <c r="F324" s="272" t="e">
        <f t="shared" si="38"/>
        <v>#VALUE!</v>
      </c>
      <c r="G324" s="272" t="str">
        <f t="shared" si="42"/>
        <v/>
      </c>
      <c r="H324" s="272" t="str">
        <f t="shared" si="43"/>
        <v/>
      </c>
      <c r="I324" s="272" t="e">
        <f t="shared" si="39"/>
        <v>#VALUE!</v>
      </c>
      <c r="J324" s="272">
        <f>SUM($H$18:$H324)</f>
        <v>0</v>
      </c>
    </row>
    <row r="325" spans="1:10" x14ac:dyDescent="0.2">
      <c r="A325" s="286" t="str">
        <f t="shared" si="40"/>
        <v/>
      </c>
      <c r="B325" s="270" t="str">
        <f t="shared" si="36"/>
        <v/>
      </c>
      <c r="C325" s="272" t="str">
        <f t="shared" si="41"/>
        <v/>
      </c>
      <c r="D325" s="272" t="str">
        <f t="shared" si="44"/>
        <v/>
      </c>
      <c r="E325" s="273" t="e">
        <f t="shared" si="37"/>
        <v>#VALUE!</v>
      </c>
      <c r="F325" s="272" t="e">
        <f t="shared" si="38"/>
        <v>#VALUE!</v>
      </c>
      <c r="G325" s="272" t="str">
        <f t="shared" si="42"/>
        <v/>
      </c>
      <c r="H325" s="272" t="str">
        <f t="shared" si="43"/>
        <v/>
      </c>
      <c r="I325" s="272" t="e">
        <f t="shared" si="39"/>
        <v>#VALUE!</v>
      </c>
      <c r="J325" s="272">
        <f>SUM($H$18:$H325)</f>
        <v>0</v>
      </c>
    </row>
    <row r="326" spans="1:10" x14ac:dyDescent="0.2">
      <c r="A326" s="286" t="str">
        <f t="shared" si="40"/>
        <v/>
      </c>
      <c r="B326" s="270" t="str">
        <f t="shared" si="36"/>
        <v/>
      </c>
      <c r="C326" s="272" t="str">
        <f t="shared" si="41"/>
        <v/>
      </c>
      <c r="D326" s="272" t="str">
        <f t="shared" si="44"/>
        <v/>
      </c>
      <c r="E326" s="273" t="e">
        <f t="shared" si="37"/>
        <v>#VALUE!</v>
      </c>
      <c r="F326" s="272" t="e">
        <f t="shared" si="38"/>
        <v>#VALUE!</v>
      </c>
      <c r="G326" s="272" t="str">
        <f t="shared" si="42"/>
        <v/>
      </c>
      <c r="H326" s="272" t="str">
        <f t="shared" si="43"/>
        <v/>
      </c>
      <c r="I326" s="272" t="e">
        <f t="shared" si="39"/>
        <v>#VALUE!</v>
      </c>
      <c r="J326" s="272">
        <f>SUM($H$18:$H326)</f>
        <v>0</v>
      </c>
    </row>
    <row r="327" spans="1:10" x14ac:dyDescent="0.2">
      <c r="A327" s="286" t="str">
        <f t="shared" si="40"/>
        <v/>
      </c>
      <c r="B327" s="270" t="str">
        <f t="shared" si="36"/>
        <v/>
      </c>
      <c r="C327" s="272" t="str">
        <f t="shared" si="41"/>
        <v/>
      </c>
      <c r="D327" s="272" t="str">
        <f t="shared" si="44"/>
        <v/>
      </c>
      <c r="E327" s="273" t="e">
        <f t="shared" si="37"/>
        <v>#VALUE!</v>
      </c>
      <c r="F327" s="272" t="e">
        <f t="shared" si="38"/>
        <v>#VALUE!</v>
      </c>
      <c r="G327" s="272" t="str">
        <f t="shared" si="42"/>
        <v/>
      </c>
      <c r="H327" s="272" t="str">
        <f t="shared" si="43"/>
        <v/>
      </c>
      <c r="I327" s="272" t="e">
        <f t="shared" si="39"/>
        <v>#VALUE!</v>
      </c>
      <c r="J327" s="272">
        <f>SUM($H$18:$H327)</f>
        <v>0</v>
      </c>
    </row>
    <row r="328" spans="1:10" x14ac:dyDescent="0.2">
      <c r="A328" s="286" t="str">
        <f t="shared" si="40"/>
        <v/>
      </c>
      <c r="B328" s="270" t="str">
        <f t="shared" si="36"/>
        <v/>
      </c>
      <c r="C328" s="272" t="str">
        <f t="shared" si="41"/>
        <v/>
      </c>
      <c r="D328" s="272" t="str">
        <f t="shared" si="44"/>
        <v/>
      </c>
      <c r="E328" s="273" t="e">
        <f t="shared" si="37"/>
        <v>#VALUE!</v>
      </c>
      <c r="F328" s="272" t="e">
        <f t="shared" si="38"/>
        <v>#VALUE!</v>
      </c>
      <c r="G328" s="272" t="str">
        <f t="shared" si="42"/>
        <v/>
      </c>
      <c r="H328" s="272" t="str">
        <f t="shared" si="43"/>
        <v/>
      </c>
      <c r="I328" s="272" t="e">
        <f t="shared" si="39"/>
        <v>#VALUE!</v>
      </c>
      <c r="J328" s="272">
        <f>SUM($H$18:$H328)</f>
        <v>0</v>
      </c>
    </row>
    <row r="329" spans="1:10" x14ac:dyDescent="0.2">
      <c r="A329" s="286" t="str">
        <f t="shared" si="40"/>
        <v/>
      </c>
      <c r="B329" s="270" t="str">
        <f t="shared" si="36"/>
        <v/>
      </c>
      <c r="C329" s="272" t="str">
        <f t="shared" si="41"/>
        <v/>
      </c>
      <c r="D329" s="272" t="str">
        <f t="shared" si="44"/>
        <v/>
      </c>
      <c r="E329" s="273" t="e">
        <f t="shared" si="37"/>
        <v>#VALUE!</v>
      </c>
      <c r="F329" s="272" t="e">
        <f t="shared" si="38"/>
        <v>#VALUE!</v>
      </c>
      <c r="G329" s="272" t="str">
        <f t="shared" si="42"/>
        <v/>
      </c>
      <c r="H329" s="272" t="str">
        <f t="shared" si="43"/>
        <v/>
      </c>
      <c r="I329" s="272" t="e">
        <f t="shared" si="39"/>
        <v>#VALUE!</v>
      </c>
      <c r="J329" s="272">
        <f>SUM($H$18:$H329)</f>
        <v>0</v>
      </c>
    </row>
    <row r="330" spans="1:10" x14ac:dyDescent="0.2">
      <c r="A330" s="286" t="str">
        <f t="shared" si="40"/>
        <v/>
      </c>
      <c r="B330" s="270" t="str">
        <f t="shared" si="36"/>
        <v/>
      </c>
      <c r="C330" s="272" t="str">
        <f t="shared" si="41"/>
        <v/>
      </c>
      <c r="D330" s="272" t="str">
        <f t="shared" si="44"/>
        <v/>
      </c>
      <c r="E330" s="273" t="e">
        <f t="shared" si="37"/>
        <v>#VALUE!</v>
      </c>
      <c r="F330" s="272" t="e">
        <f t="shared" si="38"/>
        <v>#VALUE!</v>
      </c>
      <c r="G330" s="272" t="str">
        <f t="shared" si="42"/>
        <v/>
      </c>
      <c r="H330" s="272" t="str">
        <f t="shared" si="43"/>
        <v/>
      </c>
      <c r="I330" s="272" t="e">
        <f t="shared" si="39"/>
        <v>#VALUE!</v>
      </c>
      <c r="J330" s="272">
        <f>SUM($H$18:$H330)</f>
        <v>0</v>
      </c>
    </row>
    <row r="331" spans="1:10" x14ac:dyDescent="0.2">
      <c r="A331" s="286" t="str">
        <f t="shared" si="40"/>
        <v/>
      </c>
      <c r="B331" s="270" t="str">
        <f t="shared" si="36"/>
        <v/>
      </c>
      <c r="C331" s="272" t="str">
        <f t="shared" si="41"/>
        <v/>
      </c>
      <c r="D331" s="272" t="str">
        <f t="shared" si="44"/>
        <v/>
      </c>
      <c r="E331" s="273" t="e">
        <f t="shared" si="37"/>
        <v>#VALUE!</v>
      </c>
      <c r="F331" s="272" t="e">
        <f t="shared" si="38"/>
        <v>#VALUE!</v>
      </c>
      <c r="G331" s="272" t="str">
        <f t="shared" si="42"/>
        <v/>
      </c>
      <c r="H331" s="272" t="str">
        <f t="shared" si="43"/>
        <v/>
      </c>
      <c r="I331" s="272" t="e">
        <f t="shared" si="39"/>
        <v>#VALUE!</v>
      </c>
      <c r="J331" s="272">
        <f>SUM($H$18:$H331)</f>
        <v>0</v>
      </c>
    </row>
    <row r="332" spans="1:10" x14ac:dyDescent="0.2">
      <c r="A332" s="286" t="str">
        <f t="shared" si="40"/>
        <v/>
      </c>
      <c r="B332" s="270" t="str">
        <f t="shared" si="36"/>
        <v/>
      </c>
      <c r="C332" s="272" t="str">
        <f t="shared" si="41"/>
        <v/>
      </c>
      <c r="D332" s="272" t="str">
        <f t="shared" si="44"/>
        <v/>
      </c>
      <c r="E332" s="273" t="e">
        <f t="shared" si="37"/>
        <v>#VALUE!</v>
      </c>
      <c r="F332" s="272" t="e">
        <f t="shared" si="38"/>
        <v>#VALUE!</v>
      </c>
      <c r="G332" s="272" t="str">
        <f t="shared" si="42"/>
        <v/>
      </c>
      <c r="H332" s="272" t="str">
        <f t="shared" si="43"/>
        <v/>
      </c>
      <c r="I332" s="272" t="e">
        <f t="shared" si="39"/>
        <v>#VALUE!</v>
      </c>
      <c r="J332" s="272">
        <f>SUM($H$18:$H332)</f>
        <v>0</v>
      </c>
    </row>
    <row r="333" spans="1:10" x14ac:dyDescent="0.2">
      <c r="A333" s="286" t="str">
        <f t="shared" si="40"/>
        <v/>
      </c>
      <c r="B333" s="270" t="str">
        <f t="shared" si="36"/>
        <v/>
      </c>
      <c r="C333" s="272" t="str">
        <f t="shared" si="41"/>
        <v/>
      </c>
      <c r="D333" s="272" t="str">
        <f t="shared" si="44"/>
        <v/>
      </c>
      <c r="E333" s="273" t="e">
        <f t="shared" si="37"/>
        <v>#VALUE!</v>
      </c>
      <c r="F333" s="272" t="e">
        <f t="shared" si="38"/>
        <v>#VALUE!</v>
      </c>
      <c r="G333" s="272" t="str">
        <f t="shared" si="42"/>
        <v/>
      </c>
      <c r="H333" s="272" t="str">
        <f t="shared" si="43"/>
        <v/>
      </c>
      <c r="I333" s="272" t="e">
        <f t="shared" si="39"/>
        <v>#VALUE!</v>
      </c>
      <c r="J333" s="272">
        <f>SUM($H$18:$H333)</f>
        <v>0</v>
      </c>
    </row>
    <row r="334" spans="1:10" x14ac:dyDescent="0.2">
      <c r="A334" s="286" t="str">
        <f t="shared" si="40"/>
        <v/>
      </c>
      <c r="B334" s="270" t="str">
        <f t="shared" si="36"/>
        <v/>
      </c>
      <c r="C334" s="272" t="str">
        <f t="shared" si="41"/>
        <v/>
      </c>
      <c r="D334" s="272" t="str">
        <f t="shared" si="44"/>
        <v/>
      </c>
      <c r="E334" s="273" t="e">
        <f t="shared" si="37"/>
        <v>#VALUE!</v>
      </c>
      <c r="F334" s="272" t="e">
        <f t="shared" si="38"/>
        <v>#VALUE!</v>
      </c>
      <c r="G334" s="272" t="str">
        <f t="shared" si="42"/>
        <v/>
      </c>
      <c r="H334" s="272" t="str">
        <f t="shared" si="43"/>
        <v/>
      </c>
      <c r="I334" s="272" t="e">
        <f t="shared" si="39"/>
        <v>#VALUE!</v>
      </c>
      <c r="J334" s="272">
        <f>SUM($H$18:$H334)</f>
        <v>0</v>
      </c>
    </row>
    <row r="335" spans="1:10" x14ac:dyDescent="0.2">
      <c r="A335" s="286" t="str">
        <f t="shared" si="40"/>
        <v/>
      </c>
      <c r="B335" s="270" t="str">
        <f t="shared" si="36"/>
        <v/>
      </c>
      <c r="C335" s="272" t="str">
        <f t="shared" si="41"/>
        <v/>
      </c>
      <c r="D335" s="272" t="str">
        <f t="shared" si="44"/>
        <v/>
      </c>
      <c r="E335" s="273" t="e">
        <f t="shared" si="37"/>
        <v>#VALUE!</v>
      </c>
      <c r="F335" s="272" t="e">
        <f t="shared" si="38"/>
        <v>#VALUE!</v>
      </c>
      <c r="G335" s="272" t="str">
        <f t="shared" si="42"/>
        <v/>
      </c>
      <c r="H335" s="272" t="str">
        <f t="shared" si="43"/>
        <v/>
      </c>
      <c r="I335" s="272" t="e">
        <f t="shared" si="39"/>
        <v>#VALUE!</v>
      </c>
      <c r="J335" s="272">
        <f>SUM($H$18:$H335)</f>
        <v>0</v>
      </c>
    </row>
    <row r="336" spans="1:10" x14ac:dyDescent="0.2">
      <c r="A336" s="286" t="str">
        <f t="shared" si="40"/>
        <v/>
      </c>
      <c r="B336" s="270" t="str">
        <f t="shared" si="36"/>
        <v/>
      </c>
      <c r="C336" s="272" t="str">
        <f t="shared" si="41"/>
        <v/>
      </c>
      <c r="D336" s="272" t="str">
        <f t="shared" si="44"/>
        <v/>
      </c>
      <c r="E336" s="273" t="e">
        <f t="shared" si="37"/>
        <v>#VALUE!</v>
      </c>
      <c r="F336" s="272" t="e">
        <f t="shared" si="38"/>
        <v>#VALUE!</v>
      </c>
      <c r="G336" s="272" t="str">
        <f t="shared" si="42"/>
        <v/>
      </c>
      <c r="H336" s="272" t="str">
        <f t="shared" si="43"/>
        <v/>
      </c>
      <c r="I336" s="272" t="e">
        <f t="shared" si="39"/>
        <v>#VALUE!</v>
      </c>
      <c r="J336" s="272">
        <f>SUM($H$18:$H336)</f>
        <v>0</v>
      </c>
    </row>
    <row r="337" spans="1:10" x14ac:dyDescent="0.2">
      <c r="A337" s="286" t="str">
        <f t="shared" si="40"/>
        <v/>
      </c>
      <c r="B337" s="270" t="str">
        <f t="shared" si="36"/>
        <v/>
      </c>
      <c r="C337" s="272" t="str">
        <f t="shared" si="41"/>
        <v/>
      </c>
      <c r="D337" s="272" t="str">
        <f t="shared" si="44"/>
        <v/>
      </c>
      <c r="E337" s="273" t="e">
        <f t="shared" si="37"/>
        <v>#VALUE!</v>
      </c>
      <c r="F337" s="272" t="e">
        <f t="shared" si="38"/>
        <v>#VALUE!</v>
      </c>
      <c r="G337" s="272" t="str">
        <f t="shared" si="42"/>
        <v/>
      </c>
      <c r="H337" s="272" t="str">
        <f t="shared" si="43"/>
        <v/>
      </c>
      <c r="I337" s="272" t="e">
        <f t="shared" si="39"/>
        <v>#VALUE!</v>
      </c>
      <c r="J337" s="272">
        <f>SUM($H$18:$H337)</f>
        <v>0</v>
      </c>
    </row>
    <row r="338" spans="1:10" x14ac:dyDescent="0.2">
      <c r="A338" s="286" t="str">
        <f t="shared" si="40"/>
        <v/>
      </c>
      <c r="B338" s="270" t="str">
        <f t="shared" ref="B338:B377" si="45">IF(Pay_Num&lt;&gt;"",DATE(YEAR(Loan_Start),MONTH(Loan_Start)+(Pay_Num)*12/Num_Pmt_Per_Year,DAY(Loan_Start)),"")</f>
        <v/>
      </c>
      <c r="C338" s="272" t="str">
        <f t="shared" si="41"/>
        <v/>
      </c>
      <c r="D338" s="272" t="str">
        <f t="shared" si="44"/>
        <v/>
      </c>
      <c r="E338" s="273" t="e">
        <f t="shared" ref="E338:E377" si="46">IF(AND(Pay_Num&lt;&gt;"",Sched_Pay+Scheduled_Extra_Payments&lt;Beg_Bal),Scheduled_Extra_Payments,IF(AND(Pay_Num&lt;&gt;"",Beg_Bal-Sched_Pay&gt;0),Beg_Bal-Sched_Pay,IF(Pay_Num&lt;&gt;"",0,"")))</f>
        <v>#VALUE!</v>
      </c>
      <c r="F338" s="272" t="e">
        <f t="shared" ref="F338:F377" si="47">IF(AND(Pay_Num&lt;&gt;"",Sched_Pay+Extra_Pay&lt;Beg_Bal),Sched_Pay+Extra_Pay,IF(Pay_Num&lt;&gt;"",Beg_Bal,""))</f>
        <v>#VALUE!</v>
      </c>
      <c r="G338" s="272" t="str">
        <f t="shared" si="42"/>
        <v/>
      </c>
      <c r="H338" s="272" t="str">
        <f t="shared" si="43"/>
        <v/>
      </c>
      <c r="I338" s="272" t="e">
        <f t="shared" ref="I338:I377" si="48">IF(AND(Pay_Num&lt;&gt;"",Sched_Pay+Extra_Pay&lt;Beg_Bal),Beg_Bal-Princ,IF(Pay_Num&lt;&gt;"",0,""))</f>
        <v>#VALUE!</v>
      </c>
      <c r="J338" s="272">
        <f>SUM($H$18:$H338)</f>
        <v>0</v>
      </c>
    </row>
    <row r="339" spans="1:10" x14ac:dyDescent="0.2">
      <c r="A339" s="286" t="str">
        <f t="shared" ref="A339:A377" si="49">IF(Values_Entered,A338+1,"")</f>
        <v/>
      </c>
      <c r="B339" s="270" t="str">
        <f t="shared" si="45"/>
        <v/>
      </c>
      <c r="C339" s="272" t="str">
        <f t="shared" ref="C339:C377" si="50">IF(Pay_Num&lt;&gt;"",I338,"")</f>
        <v/>
      </c>
      <c r="D339" s="272" t="str">
        <f t="shared" si="44"/>
        <v/>
      </c>
      <c r="E339" s="273" t="e">
        <f t="shared" si="46"/>
        <v>#VALUE!</v>
      </c>
      <c r="F339" s="272" t="e">
        <f t="shared" si="47"/>
        <v>#VALUE!</v>
      </c>
      <c r="G339" s="272" t="str">
        <f t="shared" ref="G339:G377" si="51">IF(Pay_Num&lt;&gt;"",Total_Pay-Int,"")</f>
        <v/>
      </c>
      <c r="H339" s="272" t="str">
        <f t="shared" ref="H339:H377" si="52">IF(Pay_Num&lt;&gt;"",Beg_Bal*Interest_Rate/Num_Pmt_Per_Year,"")</f>
        <v/>
      </c>
      <c r="I339" s="272" t="e">
        <f t="shared" si="48"/>
        <v>#VALUE!</v>
      </c>
      <c r="J339" s="272">
        <f>SUM($H$18:$H339)</f>
        <v>0</v>
      </c>
    </row>
    <row r="340" spans="1:10" x14ac:dyDescent="0.2">
      <c r="A340" s="286" t="str">
        <f t="shared" si="49"/>
        <v/>
      </c>
      <c r="B340" s="270" t="str">
        <f t="shared" si="45"/>
        <v/>
      </c>
      <c r="C340" s="272" t="str">
        <f t="shared" si="50"/>
        <v/>
      </c>
      <c r="D340" s="272" t="str">
        <f t="shared" ref="D340:D377" si="53">IF(Pay_Num&lt;&gt;"",Scheduled_Monthly_Payment,"")</f>
        <v/>
      </c>
      <c r="E340" s="273" t="e">
        <f t="shared" si="46"/>
        <v>#VALUE!</v>
      </c>
      <c r="F340" s="272" t="e">
        <f t="shared" si="47"/>
        <v>#VALUE!</v>
      </c>
      <c r="G340" s="272" t="str">
        <f t="shared" si="51"/>
        <v/>
      </c>
      <c r="H340" s="272" t="str">
        <f t="shared" si="52"/>
        <v/>
      </c>
      <c r="I340" s="272" t="e">
        <f t="shared" si="48"/>
        <v>#VALUE!</v>
      </c>
      <c r="J340" s="272">
        <f>SUM($H$18:$H340)</f>
        <v>0</v>
      </c>
    </row>
    <row r="341" spans="1:10" x14ac:dyDescent="0.2">
      <c r="A341" s="286" t="str">
        <f t="shared" si="49"/>
        <v/>
      </c>
      <c r="B341" s="270" t="str">
        <f t="shared" si="45"/>
        <v/>
      </c>
      <c r="C341" s="272" t="str">
        <f t="shared" si="50"/>
        <v/>
      </c>
      <c r="D341" s="272" t="str">
        <f t="shared" si="53"/>
        <v/>
      </c>
      <c r="E341" s="273" t="e">
        <f t="shared" si="46"/>
        <v>#VALUE!</v>
      </c>
      <c r="F341" s="272" t="e">
        <f t="shared" si="47"/>
        <v>#VALUE!</v>
      </c>
      <c r="G341" s="272" t="str">
        <f t="shared" si="51"/>
        <v/>
      </c>
      <c r="H341" s="272" t="str">
        <f t="shared" si="52"/>
        <v/>
      </c>
      <c r="I341" s="272" t="e">
        <f t="shared" si="48"/>
        <v>#VALUE!</v>
      </c>
      <c r="J341" s="272">
        <f>SUM($H$18:$H341)</f>
        <v>0</v>
      </c>
    </row>
    <row r="342" spans="1:10" x14ac:dyDescent="0.2">
      <c r="A342" s="286" t="str">
        <f t="shared" si="49"/>
        <v/>
      </c>
      <c r="B342" s="270" t="str">
        <f t="shared" si="45"/>
        <v/>
      </c>
      <c r="C342" s="272" t="str">
        <f t="shared" si="50"/>
        <v/>
      </c>
      <c r="D342" s="272" t="str">
        <f t="shared" si="53"/>
        <v/>
      </c>
      <c r="E342" s="273" t="e">
        <f t="shared" si="46"/>
        <v>#VALUE!</v>
      </c>
      <c r="F342" s="272" t="e">
        <f t="shared" si="47"/>
        <v>#VALUE!</v>
      </c>
      <c r="G342" s="272" t="str">
        <f t="shared" si="51"/>
        <v/>
      </c>
      <c r="H342" s="272" t="str">
        <f t="shared" si="52"/>
        <v/>
      </c>
      <c r="I342" s="272" t="e">
        <f t="shared" si="48"/>
        <v>#VALUE!</v>
      </c>
      <c r="J342" s="272">
        <f>SUM($H$18:$H342)</f>
        <v>0</v>
      </c>
    </row>
    <row r="343" spans="1:10" x14ac:dyDescent="0.2">
      <c r="A343" s="286" t="str">
        <f t="shared" si="49"/>
        <v/>
      </c>
      <c r="B343" s="270" t="str">
        <f t="shared" si="45"/>
        <v/>
      </c>
      <c r="C343" s="272" t="str">
        <f t="shared" si="50"/>
        <v/>
      </c>
      <c r="D343" s="272" t="str">
        <f t="shared" si="53"/>
        <v/>
      </c>
      <c r="E343" s="273" t="e">
        <f t="shared" si="46"/>
        <v>#VALUE!</v>
      </c>
      <c r="F343" s="272" t="e">
        <f t="shared" si="47"/>
        <v>#VALUE!</v>
      </c>
      <c r="G343" s="272" t="str">
        <f t="shared" si="51"/>
        <v/>
      </c>
      <c r="H343" s="272" t="str">
        <f t="shared" si="52"/>
        <v/>
      </c>
      <c r="I343" s="272" t="e">
        <f t="shared" si="48"/>
        <v>#VALUE!</v>
      </c>
      <c r="J343" s="272">
        <f>SUM($H$18:$H343)</f>
        <v>0</v>
      </c>
    </row>
    <row r="344" spans="1:10" x14ac:dyDescent="0.2">
      <c r="A344" s="286" t="str">
        <f t="shared" si="49"/>
        <v/>
      </c>
      <c r="B344" s="270" t="str">
        <f t="shared" si="45"/>
        <v/>
      </c>
      <c r="C344" s="272" t="str">
        <f t="shared" si="50"/>
        <v/>
      </c>
      <c r="D344" s="272" t="str">
        <f t="shared" si="53"/>
        <v/>
      </c>
      <c r="E344" s="273" t="e">
        <f t="shared" si="46"/>
        <v>#VALUE!</v>
      </c>
      <c r="F344" s="272" t="e">
        <f t="shared" si="47"/>
        <v>#VALUE!</v>
      </c>
      <c r="G344" s="272" t="str">
        <f t="shared" si="51"/>
        <v/>
      </c>
      <c r="H344" s="272" t="str">
        <f t="shared" si="52"/>
        <v/>
      </c>
      <c r="I344" s="272" t="e">
        <f t="shared" si="48"/>
        <v>#VALUE!</v>
      </c>
      <c r="J344" s="272">
        <f>SUM($H$18:$H344)</f>
        <v>0</v>
      </c>
    </row>
    <row r="345" spans="1:10" x14ac:dyDescent="0.2">
      <c r="A345" s="286" t="str">
        <f t="shared" si="49"/>
        <v/>
      </c>
      <c r="B345" s="270" t="str">
        <f t="shared" si="45"/>
        <v/>
      </c>
      <c r="C345" s="272" t="str">
        <f t="shared" si="50"/>
        <v/>
      </c>
      <c r="D345" s="272" t="str">
        <f t="shared" si="53"/>
        <v/>
      </c>
      <c r="E345" s="273" t="e">
        <f t="shared" si="46"/>
        <v>#VALUE!</v>
      </c>
      <c r="F345" s="272" t="e">
        <f t="shared" si="47"/>
        <v>#VALUE!</v>
      </c>
      <c r="G345" s="272" t="str">
        <f t="shared" si="51"/>
        <v/>
      </c>
      <c r="H345" s="272" t="str">
        <f t="shared" si="52"/>
        <v/>
      </c>
      <c r="I345" s="272" t="e">
        <f t="shared" si="48"/>
        <v>#VALUE!</v>
      </c>
      <c r="J345" s="272">
        <f>SUM($H$18:$H345)</f>
        <v>0</v>
      </c>
    </row>
    <row r="346" spans="1:10" x14ac:dyDescent="0.2">
      <c r="A346" s="286" t="str">
        <f t="shared" si="49"/>
        <v/>
      </c>
      <c r="B346" s="270" t="str">
        <f t="shared" si="45"/>
        <v/>
      </c>
      <c r="C346" s="272" t="str">
        <f t="shared" si="50"/>
        <v/>
      </c>
      <c r="D346" s="272" t="str">
        <f t="shared" si="53"/>
        <v/>
      </c>
      <c r="E346" s="273" t="e">
        <f t="shared" si="46"/>
        <v>#VALUE!</v>
      </c>
      <c r="F346" s="272" t="e">
        <f t="shared" si="47"/>
        <v>#VALUE!</v>
      </c>
      <c r="G346" s="272" t="str">
        <f t="shared" si="51"/>
        <v/>
      </c>
      <c r="H346" s="272" t="str">
        <f t="shared" si="52"/>
        <v/>
      </c>
      <c r="I346" s="272" t="e">
        <f t="shared" si="48"/>
        <v>#VALUE!</v>
      </c>
      <c r="J346" s="272">
        <f>SUM($H$18:$H346)</f>
        <v>0</v>
      </c>
    </row>
    <row r="347" spans="1:10" x14ac:dyDescent="0.2">
      <c r="A347" s="286" t="str">
        <f t="shared" si="49"/>
        <v/>
      </c>
      <c r="B347" s="270" t="str">
        <f t="shared" si="45"/>
        <v/>
      </c>
      <c r="C347" s="272" t="str">
        <f t="shared" si="50"/>
        <v/>
      </c>
      <c r="D347" s="272" t="str">
        <f t="shared" si="53"/>
        <v/>
      </c>
      <c r="E347" s="273" t="e">
        <f t="shared" si="46"/>
        <v>#VALUE!</v>
      </c>
      <c r="F347" s="272" t="e">
        <f t="shared" si="47"/>
        <v>#VALUE!</v>
      </c>
      <c r="G347" s="272" t="str">
        <f t="shared" si="51"/>
        <v/>
      </c>
      <c r="H347" s="272" t="str">
        <f t="shared" si="52"/>
        <v/>
      </c>
      <c r="I347" s="272" t="e">
        <f t="shared" si="48"/>
        <v>#VALUE!</v>
      </c>
      <c r="J347" s="272">
        <f>SUM($H$18:$H347)</f>
        <v>0</v>
      </c>
    </row>
    <row r="348" spans="1:10" x14ac:dyDescent="0.2">
      <c r="A348" s="286" t="str">
        <f t="shared" si="49"/>
        <v/>
      </c>
      <c r="B348" s="270" t="str">
        <f t="shared" si="45"/>
        <v/>
      </c>
      <c r="C348" s="272" t="str">
        <f t="shared" si="50"/>
        <v/>
      </c>
      <c r="D348" s="272" t="str">
        <f t="shared" si="53"/>
        <v/>
      </c>
      <c r="E348" s="273" t="e">
        <f t="shared" si="46"/>
        <v>#VALUE!</v>
      </c>
      <c r="F348" s="272" t="e">
        <f t="shared" si="47"/>
        <v>#VALUE!</v>
      </c>
      <c r="G348" s="272" t="str">
        <f t="shared" si="51"/>
        <v/>
      </c>
      <c r="H348" s="272" t="str">
        <f t="shared" si="52"/>
        <v/>
      </c>
      <c r="I348" s="272" t="e">
        <f t="shared" si="48"/>
        <v>#VALUE!</v>
      </c>
      <c r="J348" s="272">
        <f>SUM($H$18:$H348)</f>
        <v>0</v>
      </c>
    </row>
    <row r="349" spans="1:10" x14ac:dyDescent="0.2">
      <c r="A349" s="286" t="str">
        <f t="shared" si="49"/>
        <v/>
      </c>
      <c r="B349" s="270" t="str">
        <f t="shared" si="45"/>
        <v/>
      </c>
      <c r="C349" s="272" t="str">
        <f t="shared" si="50"/>
        <v/>
      </c>
      <c r="D349" s="272" t="str">
        <f t="shared" si="53"/>
        <v/>
      </c>
      <c r="E349" s="273" t="e">
        <f t="shared" si="46"/>
        <v>#VALUE!</v>
      </c>
      <c r="F349" s="272" t="e">
        <f t="shared" si="47"/>
        <v>#VALUE!</v>
      </c>
      <c r="G349" s="272" t="str">
        <f t="shared" si="51"/>
        <v/>
      </c>
      <c r="H349" s="272" t="str">
        <f t="shared" si="52"/>
        <v/>
      </c>
      <c r="I349" s="272" t="e">
        <f t="shared" si="48"/>
        <v>#VALUE!</v>
      </c>
      <c r="J349" s="272">
        <f>SUM($H$18:$H349)</f>
        <v>0</v>
      </c>
    </row>
    <row r="350" spans="1:10" x14ac:dyDescent="0.2">
      <c r="A350" s="286" t="str">
        <f t="shared" si="49"/>
        <v/>
      </c>
      <c r="B350" s="270" t="str">
        <f t="shared" si="45"/>
        <v/>
      </c>
      <c r="C350" s="272" t="str">
        <f t="shared" si="50"/>
        <v/>
      </c>
      <c r="D350" s="272" t="str">
        <f t="shared" si="53"/>
        <v/>
      </c>
      <c r="E350" s="273" t="e">
        <f t="shared" si="46"/>
        <v>#VALUE!</v>
      </c>
      <c r="F350" s="272" t="e">
        <f t="shared" si="47"/>
        <v>#VALUE!</v>
      </c>
      <c r="G350" s="272" t="str">
        <f t="shared" si="51"/>
        <v/>
      </c>
      <c r="H350" s="272" t="str">
        <f t="shared" si="52"/>
        <v/>
      </c>
      <c r="I350" s="272" t="e">
        <f t="shared" si="48"/>
        <v>#VALUE!</v>
      </c>
      <c r="J350" s="272">
        <f>SUM($H$18:$H350)</f>
        <v>0</v>
      </c>
    </row>
    <row r="351" spans="1:10" x14ac:dyDescent="0.2">
      <c r="A351" s="286" t="str">
        <f t="shared" si="49"/>
        <v/>
      </c>
      <c r="B351" s="270" t="str">
        <f t="shared" si="45"/>
        <v/>
      </c>
      <c r="C351" s="272" t="str">
        <f t="shared" si="50"/>
        <v/>
      </c>
      <c r="D351" s="272" t="str">
        <f t="shared" si="53"/>
        <v/>
      </c>
      <c r="E351" s="273" t="e">
        <f t="shared" si="46"/>
        <v>#VALUE!</v>
      </c>
      <c r="F351" s="272" t="e">
        <f t="shared" si="47"/>
        <v>#VALUE!</v>
      </c>
      <c r="G351" s="272" t="str">
        <f t="shared" si="51"/>
        <v/>
      </c>
      <c r="H351" s="272" t="str">
        <f t="shared" si="52"/>
        <v/>
      </c>
      <c r="I351" s="272" t="e">
        <f t="shared" si="48"/>
        <v>#VALUE!</v>
      </c>
      <c r="J351" s="272">
        <f>SUM($H$18:$H351)</f>
        <v>0</v>
      </c>
    </row>
    <row r="352" spans="1:10" x14ac:dyDescent="0.2">
      <c r="A352" s="286" t="str">
        <f t="shared" si="49"/>
        <v/>
      </c>
      <c r="B352" s="270" t="str">
        <f t="shared" si="45"/>
        <v/>
      </c>
      <c r="C352" s="272" t="str">
        <f t="shared" si="50"/>
        <v/>
      </c>
      <c r="D352" s="272" t="str">
        <f t="shared" si="53"/>
        <v/>
      </c>
      <c r="E352" s="273" t="e">
        <f t="shared" si="46"/>
        <v>#VALUE!</v>
      </c>
      <c r="F352" s="272" t="e">
        <f t="shared" si="47"/>
        <v>#VALUE!</v>
      </c>
      <c r="G352" s="272" t="str">
        <f t="shared" si="51"/>
        <v/>
      </c>
      <c r="H352" s="272" t="str">
        <f t="shared" si="52"/>
        <v/>
      </c>
      <c r="I352" s="272" t="e">
        <f t="shared" si="48"/>
        <v>#VALUE!</v>
      </c>
      <c r="J352" s="272">
        <f>SUM($H$18:$H352)</f>
        <v>0</v>
      </c>
    </row>
    <row r="353" spans="1:10" x14ac:dyDescent="0.2">
      <c r="A353" s="286" t="str">
        <f t="shared" si="49"/>
        <v/>
      </c>
      <c r="B353" s="270" t="str">
        <f t="shared" si="45"/>
        <v/>
      </c>
      <c r="C353" s="272" t="str">
        <f t="shared" si="50"/>
        <v/>
      </c>
      <c r="D353" s="272" t="str">
        <f t="shared" si="53"/>
        <v/>
      </c>
      <c r="E353" s="273" t="e">
        <f t="shared" si="46"/>
        <v>#VALUE!</v>
      </c>
      <c r="F353" s="272" t="e">
        <f t="shared" si="47"/>
        <v>#VALUE!</v>
      </c>
      <c r="G353" s="272" t="str">
        <f t="shared" si="51"/>
        <v/>
      </c>
      <c r="H353" s="272" t="str">
        <f t="shared" si="52"/>
        <v/>
      </c>
      <c r="I353" s="272" t="e">
        <f t="shared" si="48"/>
        <v>#VALUE!</v>
      </c>
      <c r="J353" s="272">
        <f>SUM($H$18:$H353)</f>
        <v>0</v>
      </c>
    </row>
    <row r="354" spans="1:10" x14ac:dyDescent="0.2">
      <c r="A354" s="286" t="str">
        <f t="shared" si="49"/>
        <v/>
      </c>
      <c r="B354" s="270" t="str">
        <f t="shared" si="45"/>
        <v/>
      </c>
      <c r="C354" s="272" t="str">
        <f t="shared" si="50"/>
        <v/>
      </c>
      <c r="D354" s="272" t="str">
        <f t="shared" si="53"/>
        <v/>
      </c>
      <c r="E354" s="273" t="e">
        <f t="shared" si="46"/>
        <v>#VALUE!</v>
      </c>
      <c r="F354" s="272" t="e">
        <f t="shared" si="47"/>
        <v>#VALUE!</v>
      </c>
      <c r="G354" s="272" t="str">
        <f t="shared" si="51"/>
        <v/>
      </c>
      <c r="H354" s="272" t="str">
        <f t="shared" si="52"/>
        <v/>
      </c>
      <c r="I354" s="272" t="e">
        <f t="shared" si="48"/>
        <v>#VALUE!</v>
      </c>
      <c r="J354" s="272">
        <f>SUM($H$18:$H354)</f>
        <v>0</v>
      </c>
    </row>
    <row r="355" spans="1:10" x14ac:dyDescent="0.2">
      <c r="A355" s="286" t="str">
        <f t="shared" si="49"/>
        <v/>
      </c>
      <c r="B355" s="270" t="str">
        <f t="shared" si="45"/>
        <v/>
      </c>
      <c r="C355" s="272" t="str">
        <f t="shared" si="50"/>
        <v/>
      </c>
      <c r="D355" s="272" t="str">
        <f t="shared" si="53"/>
        <v/>
      </c>
      <c r="E355" s="273" t="e">
        <f t="shared" si="46"/>
        <v>#VALUE!</v>
      </c>
      <c r="F355" s="272" t="e">
        <f t="shared" si="47"/>
        <v>#VALUE!</v>
      </c>
      <c r="G355" s="272" t="str">
        <f t="shared" si="51"/>
        <v/>
      </c>
      <c r="H355" s="272" t="str">
        <f t="shared" si="52"/>
        <v/>
      </c>
      <c r="I355" s="272" t="e">
        <f t="shared" si="48"/>
        <v>#VALUE!</v>
      </c>
      <c r="J355" s="272">
        <f>SUM($H$18:$H355)</f>
        <v>0</v>
      </c>
    </row>
    <row r="356" spans="1:10" x14ac:dyDescent="0.2">
      <c r="A356" s="286" t="str">
        <f t="shared" si="49"/>
        <v/>
      </c>
      <c r="B356" s="270" t="str">
        <f t="shared" si="45"/>
        <v/>
      </c>
      <c r="C356" s="272" t="str">
        <f t="shared" si="50"/>
        <v/>
      </c>
      <c r="D356" s="272" t="str">
        <f t="shared" si="53"/>
        <v/>
      </c>
      <c r="E356" s="273" t="e">
        <f t="shared" si="46"/>
        <v>#VALUE!</v>
      </c>
      <c r="F356" s="272" t="e">
        <f t="shared" si="47"/>
        <v>#VALUE!</v>
      </c>
      <c r="G356" s="272" t="str">
        <f t="shared" si="51"/>
        <v/>
      </c>
      <c r="H356" s="272" t="str">
        <f t="shared" si="52"/>
        <v/>
      </c>
      <c r="I356" s="272" t="e">
        <f t="shared" si="48"/>
        <v>#VALUE!</v>
      </c>
      <c r="J356" s="272">
        <f>SUM($H$18:$H356)</f>
        <v>0</v>
      </c>
    </row>
    <row r="357" spans="1:10" x14ac:dyDescent="0.2">
      <c r="A357" s="286" t="str">
        <f t="shared" si="49"/>
        <v/>
      </c>
      <c r="B357" s="270" t="str">
        <f t="shared" si="45"/>
        <v/>
      </c>
      <c r="C357" s="272" t="str">
        <f t="shared" si="50"/>
        <v/>
      </c>
      <c r="D357" s="272" t="str">
        <f t="shared" si="53"/>
        <v/>
      </c>
      <c r="E357" s="273" t="e">
        <f t="shared" si="46"/>
        <v>#VALUE!</v>
      </c>
      <c r="F357" s="272" t="e">
        <f t="shared" si="47"/>
        <v>#VALUE!</v>
      </c>
      <c r="G357" s="272" t="str">
        <f t="shared" si="51"/>
        <v/>
      </c>
      <c r="H357" s="272" t="str">
        <f t="shared" si="52"/>
        <v/>
      </c>
      <c r="I357" s="272" t="e">
        <f t="shared" si="48"/>
        <v>#VALUE!</v>
      </c>
      <c r="J357" s="272">
        <f>SUM($H$18:$H357)</f>
        <v>0</v>
      </c>
    </row>
    <row r="358" spans="1:10" x14ac:dyDescent="0.2">
      <c r="A358" s="286" t="str">
        <f t="shared" si="49"/>
        <v/>
      </c>
      <c r="B358" s="270" t="str">
        <f t="shared" si="45"/>
        <v/>
      </c>
      <c r="C358" s="272" t="str">
        <f t="shared" si="50"/>
        <v/>
      </c>
      <c r="D358" s="272" t="str">
        <f t="shared" si="53"/>
        <v/>
      </c>
      <c r="E358" s="273" t="e">
        <f t="shared" si="46"/>
        <v>#VALUE!</v>
      </c>
      <c r="F358" s="272" t="e">
        <f t="shared" si="47"/>
        <v>#VALUE!</v>
      </c>
      <c r="G358" s="272" t="str">
        <f t="shared" si="51"/>
        <v/>
      </c>
      <c r="H358" s="272" t="str">
        <f t="shared" si="52"/>
        <v/>
      </c>
      <c r="I358" s="272" t="e">
        <f t="shared" si="48"/>
        <v>#VALUE!</v>
      </c>
      <c r="J358" s="272">
        <f>SUM($H$18:$H358)</f>
        <v>0</v>
      </c>
    </row>
    <row r="359" spans="1:10" x14ac:dyDescent="0.2">
      <c r="A359" s="286" t="str">
        <f t="shared" si="49"/>
        <v/>
      </c>
      <c r="B359" s="270" t="str">
        <f t="shared" si="45"/>
        <v/>
      </c>
      <c r="C359" s="272" t="str">
        <f t="shared" si="50"/>
        <v/>
      </c>
      <c r="D359" s="272" t="str">
        <f t="shared" si="53"/>
        <v/>
      </c>
      <c r="E359" s="273" t="e">
        <f t="shared" si="46"/>
        <v>#VALUE!</v>
      </c>
      <c r="F359" s="272" t="e">
        <f t="shared" si="47"/>
        <v>#VALUE!</v>
      </c>
      <c r="G359" s="272" t="str">
        <f t="shared" si="51"/>
        <v/>
      </c>
      <c r="H359" s="272" t="str">
        <f t="shared" si="52"/>
        <v/>
      </c>
      <c r="I359" s="272" t="e">
        <f t="shared" si="48"/>
        <v>#VALUE!</v>
      </c>
      <c r="J359" s="272">
        <f>SUM($H$18:$H359)</f>
        <v>0</v>
      </c>
    </row>
    <row r="360" spans="1:10" x14ac:dyDescent="0.2">
      <c r="A360" s="286" t="str">
        <f t="shared" si="49"/>
        <v/>
      </c>
      <c r="B360" s="270" t="str">
        <f t="shared" si="45"/>
        <v/>
      </c>
      <c r="C360" s="272" t="str">
        <f t="shared" si="50"/>
        <v/>
      </c>
      <c r="D360" s="272" t="str">
        <f t="shared" si="53"/>
        <v/>
      </c>
      <c r="E360" s="273" t="e">
        <f t="shared" si="46"/>
        <v>#VALUE!</v>
      </c>
      <c r="F360" s="272" t="e">
        <f t="shared" si="47"/>
        <v>#VALUE!</v>
      </c>
      <c r="G360" s="272" t="str">
        <f t="shared" si="51"/>
        <v/>
      </c>
      <c r="H360" s="272" t="str">
        <f t="shared" si="52"/>
        <v/>
      </c>
      <c r="I360" s="272" t="e">
        <f t="shared" si="48"/>
        <v>#VALUE!</v>
      </c>
      <c r="J360" s="272">
        <f>SUM($H$18:$H360)</f>
        <v>0</v>
      </c>
    </row>
    <row r="361" spans="1:10" x14ac:dyDescent="0.2">
      <c r="A361" s="286" t="str">
        <f t="shared" si="49"/>
        <v/>
      </c>
      <c r="B361" s="270" t="str">
        <f t="shared" si="45"/>
        <v/>
      </c>
      <c r="C361" s="272" t="str">
        <f t="shared" si="50"/>
        <v/>
      </c>
      <c r="D361" s="272" t="str">
        <f t="shared" si="53"/>
        <v/>
      </c>
      <c r="E361" s="273" t="e">
        <f t="shared" si="46"/>
        <v>#VALUE!</v>
      </c>
      <c r="F361" s="272" t="e">
        <f t="shared" si="47"/>
        <v>#VALUE!</v>
      </c>
      <c r="G361" s="272" t="str">
        <f t="shared" si="51"/>
        <v/>
      </c>
      <c r="H361" s="272" t="str">
        <f t="shared" si="52"/>
        <v/>
      </c>
      <c r="I361" s="272" t="e">
        <f t="shared" si="48"/>
        <v>#VALUE!</v>
      </c>
      <c r="J361" s="272">
        <f>SUM($H$18:$H361)</f>
        <v>0</v>
      </c>
    </row>
    <row r="362" spans="1:10" x14ac:dyDescent="0.2">
      <c r="A362" s="286" t="str">
        <f t="shared" si="49"/>
        <v/>
      </c>
      <c r="B362" s="270" t="str">
        <f t="shared" si="45"/>
        <v/>
      </c>
      <c r="C362" s="272" t="str">
        <f t="shared" si="50"/>
        <v/>
      </c>
      <c r="D362" s="272" t="str">
        <f t="shared" si="53"/>
        <v/>
      </c>
      <c r="E362" s="273" t="e">
        <f t="shared" si="46"/>
        <v>#VALUE!</v>
      </c>
      <c r="F362" s="272" t="e">
        <f t="shared" si="47"/>
        <v>#VALUE!</v>
      </c>
      <c r="G362" s="272" t="str">
        <f t="shared" si="51"/>
        <v/>
      </c>
      <c r="H362" s="272" t="str">
        <f t="shared" si="52"/>
        <v/>
      </c>
      <c r="I362" s="272" t="e">
        <f t="shared" si="48"/>
        <v>#VALUE!</v>
      </c>
      <c r="J362" s="272">
        <f>SUM($H$18:$H362)</f>
        <v>0</v>
      </c>
    </row>
    <row r="363" spans="1:10" x14ac:dyDescent="0.2">
      <c r="A363" s="286" t="str">
        <f t="shared" si="49"/>
        <v/>
      </c>
      <c r="B363" s="270" t="str">
        <f t="shared" si="45"/>
        <v/>
      </c>
      <c r="C363" s="272" t="str">
        <f t="shared" si="50"/>
        <v/>
      </c>
      <c r="D363" s="272" t="str">
        <f t="shared" si="53"/>
        <v/>
      </c>
      <c r="E363" s="273" t="e">
        <f t="shared" si="46"/>
        <v>#VALUE!</v>
      </c>
      <c r="F363" s="272" t="e">
        <f t="shared" si="47"/>
        <v>#VALUE!</v>
      </c>
      <c r="G363" s="272" t="str">
        <f t="shared" si="51"/>
        <v/>
      </c>
      <c r="H363" s="272" t="str">
        <f t="shared" si="52"/>
        <v/>
      </c>
      <c r="I363" s="272" t="e">
        <f t="shared" si="48"/>
        <v>#VALUE!</v>
      </c>
      <c r="J363" s="272">
        <f>SUM($H$18:$H363)</f>
        <v>0</v>
      </c>
    </row>
    <row r="364" spans="1:10" x14ac:dyDescent="0.2">
      <c r="A364" s="286" t="str">
        <f t="shared" si="49"/>
        <v/>
      </c>
      <c r="B364" s="270" t="str">
        <f t="shared" si="45"/>
        <v/>
      </c>
      <c r="C364" s="272" t="str">
        <f t="shared" si="50"/>
        <v/>
      </c>
      <c r="D364" s="272" t="str">
        <f t="shared" si="53"/>
        <v/>
      </c>
      <c r="E364" s="273" t="e">
        <f t="shared" si="46"/>
        <v>#VALUE!</v>
      </c>
      <c r="F364" s="272" t="e">
        <f t="shared" si="47"/>
        <v>#VALUE!</v>
      </c>
      <c r="G364" s="272" t="str">
        <f t="shared" si="51"/>
        <v/>
      </c>
      <c r="H364" s="272" t="str">
        <f t="shared" si="52"/>
        <v/>
      </c>
      <c r="I364" s="272" t="e">
        <f t="shared" si="48"/>
        <v>#VALUE!</v>
      </c>
      <c r="J364" s="272">
        <f>SUM($H$18:$H364)</f>
        <v>0</v>
      </c>
    </row>
    <row r="365" spans="1:10" x14ac:dyDescent="0.2">
      <c r="A365" s="286" t="str">
        <f t="shared" si="49"/>
        <v/>
      </c>
      <c r="B365" s="270" t="str">
        <f t="shared" si="45"/>
        <v/>
      </c>
      <c r="C365" s="272" t="str">
        <f t="shared" si="50"/>
        <v/>
      </c>
      <c r="D365" s="272" t="str">
        <f t="shared" si="53"/>
        <v/>
      </c>
      <c r="E365" s="273" t="e">
        <f t="shared" si="46"/>
        <v>#VALUE!</v>
      </c>
      <c r="F365" s="272" t="e">
        <f t="shared" si="47"/>
        <v>#VALUE!</v>
      </c>
      <c r="G365" s="272" t="str">
        <f t="shared" si="51"/>
        <v/>
      </c>
      <c r="H365" s="272" t="str">
        <f t="shared" si="52"/>
        <v/>
      </c>
      <c r="I365" s="272" t="e">
        <f t="shared" si="48"/>
        <v>#VALUE!</v>
      </c>
      <c r="J365" s="272">
        <f>SUM($H$18:$H365)</f>
        <v>0</v>
      </c>
    </row>
    <row r="366" spans="1:10" x14ac:dyDescent="0.2">
      <c r="A366" s="286" t="str">
        <f t="shared" si="49"/>
        <v/>
      </c>
      <c r="B366" s="270" t="str">
        <f t="shared" si="45"/>
        <v/>
      </c>
      <c r="C366" s="272" t="str">
        <f t="shared" si="50"/>
        <v/>
      </c>
      <c r="D366" s="272" t="str">
        <f t="shared" si="53"/>
        <v/>
      </c>
      <c r="E366" s="273" t="e">
        <f t="shared" si="46"/>
        <v>#VALUE!</v>
      </c>
      <c r="F366" s="272" t="e">
        <f t="shared" si="47"/>
        <v>#VALUE!</v>
      </c>
      <c r="G366" s="272" t="str">
        <f t="shared" si="51"/>
        <v/>
      </c>
      <c r="H366" s="272" t="str">
        <f t="shared" si="52"/>
        <v/>
      </c>
      <c r="I366" s="272" t="e">
        <f t="shared" si="48"/>
        <v>#VALUE!</v>
      </c>
      <c r="J366" s="272">
        <f>SUM($H$18:$H366)</f>
        <v>0</v>
      </c>
    </row>
    <row r="367" spans="1:10" x14ac:dyDescent="0.2">
      <c r="A367" s="286" t="str">
        <f t="shared" si="49"/>
        <v/>
      </c>
      <c r="B367" s="270" t="str">
        <f t="shared" si="45"/>
        <v/>
      </c>
      <c r="C367" s="272" t="str">
        <f t="shared" si="50"/>
        <v/>
      </c>
      <c r="D367" s="272" t="str">
        <f t="shared" si="53"/>
        <v/>
      </c>
      <c r="E367" s="273" t="e">
        <f t="shared" si="46"/>
        <v>#VALUE!</v>
      </c>
      <c r="F367" s="272" t="e">
        <f t="shared" si="47"/>
        <v>#VALUE!</v>
      </c>
      <c r="G367" s="272" t="str">
        <f t="shared" si="51"/>
        <v/>
      </c>
      <c r="H367" s="272" t="str">
        <f t="shared" si="52"/>
        <v/>
      </c>
      <c r="I367" s="272" t="e">
        <f t="shared" si="48"/>
        <v>#VALUE!</v>
      </c>
      <c r="J367" s="272">
        <f>SUM($H$18:$H367)</f>
        <v>0</v>
      </c>
    </row>
    <row r="368" spans="1:10" x14ac:dyDescent="0.2">
      <c r="A368" s="286" t="str">
        <f t="shared" si="49"/>
        <v/>
      </c>
      <c r="B368" s="270" t="str">
        <f t="shared" si="45"/>
        <v/>
      </c>
      <c r="C368" s="272" t="str">
        <f t="shared" si="50"/>
        <v/>
      </c>
      <c r="D368" s="272" t="str">
        <f t="shared" si="53"/>
        <v/>
      </c>
      <c r="E368" s="273" t="e">
        <f t="shared" si="46"/>
        <v>#VALUE!</v>
      </c>
      <c r="F368" s="272" t="e">
        <f t="shared" si="47"/>
        <v>#VALUE!</v>
      </c>
      <c r="G368" s="272" t="str">
        <f t="shared" si="51"/>
        <v/>
      </c>
      <c r="H368" s="272" t="str">
        <f t="shared" si="52"/>
        <v/>
      </c>
      <c r="I368" s="272" t="e">
        <f t="shared" si="48"/>
        <v>#VALUE!</v>
      </c>
      <c r="J368" s="272">
        <f>SUM($H$18:$H368)</f>
        <v>0</v>
      </c>
    </row>
    <row r="369" spans="1:10" x14ac:dyDescent="0.2">
      <c r="A369" s="286" t="str">
        <f t="shared" si="49"/>
        <v/>
      </c>
      <c r="B369" s="270" t="str">
        <f t="shared" si="45"/>
        <v/>
      </c>
      <c r="C369" s="272" t="str">
        <f t="shared" si="50"/>
        <v/>
      </c>
      <c r="D369" s="272" t="str">
        <f t="shared" si="53"/>
        <v/>
      </c>
      <c r="E369" s="273" t="e">
        <f t="shared" si="46"/>
        <v>#VALUE!</v>
      </c>
      <c r="F369" s="272" t="e">
        <f t="shared" si="47"/>
        <v>#VALUE!</v>
      </c>
      <c r="G369" s="272" t="str">
        <f t="shared" si="51"/>
        <v/>
      </c>
      <c r="H369" s="272" t="str">
        <f t="shared" si="52"/>
        <v/>
      </c>
      <c r="I369" s="272" t="e">
        <f t="shared" si="48"/>
        <v>#VALUE!</v>
      </c>
      <c r="J369" s="272">
        <f>SUM($H$18:$H369)</f>
        <v>0</v>
      </c>
    </row>
    <row r="370" spans="1:10" x14ac:dyDescent="0.2">
      <c r="A370" s="286" t="str">
        <f t="shared" si="49"/>
        <v/>
      </c>
      <c r="B370" s="270" t="str">
        <f t="shared" si="45"/>
        <v/>
      </c>
      <c r="C370" s="272" t="str">
        <f t="shared" si="50"/>
        <v/>
      </c>
      <c r="D370" s="272" t="str">
        <f t="shared" si="53"/>
        <v/>
      </c>
      <c r="E370" s="273" t="e">
        <f t="shared" si="46"/>
        <v>#VALUE!</v>
      </c>
      <c r="F370" s="272" t="e">
        <f t="shared" si="47"/>
        <v>#VALUE!</v>
      </c>
      <c r="G370" s="272" t="str">
        <f t="shared" si="51"/>
        <v/>
      </c>
      <c r="H370" s="272" t="str">
        <f t="shared" si="52"/>
        <v/>
      </c>
      <c r="I370" s="272" t="e">
        <f t="shared" si="48"/>
        <v>#VALUE!</v>
      </c>
      <c r="J370" s="272">
        <f>SUM($H$18:$H370)</f>
        <v>0</v>
      </c>
    </row>
    <row r="371" spans="1:10" x14ac:dyDescent="0.2">
      <c r="A371" s="286" t="str">
        <f t="shared" si="49"/>
        <v/>
      </c>
      <c r="B371" s="270" t="str">
        <f t="shared" si="45"/>
        <v/>
      </c>
      <c r="C371" s="272" t="str">
        <f t="shared" si="50"/>
        <v/>
      </c>
      <c r="D371" s="272" t="str">
        <f t="shared" si="53"/>
        <v/>
      </c>
      <c r="E371" s="273" t="e">
        <f t="shared" si="46"/>
        <v>#VALUE!</v>
      </c>
      <c r="F371" s="272" t="e">
        <f t="shared" si="47"/>
        <v>#VALUE!</v>
      </c>
      <c r="G371" s="272" t="str">
        <f t="shared" si="51"/>
        <v/>
      </c>
      <c r="H371" s="272" t="str">
        <f t="shared" si="52"/>
        <v/>
      </c>
      <c r="I371" s="272" t="e">
        <f t="shared" si="48"/>
        <v>#VALUE!</v>
      </c>
      <c r="J371" s="272">
        <f>SUM($H$18:$H371)</f>
        <v>0</v>
      </c>
    </row>
    <row r="372" spans="1:10" x14ac:dyDescent="0.2">
      <c r="A372" s="286" t="str">
        <f t="shared" si="49"/>
        <v/>
      </c>
      <c r="B372" s="270" t="str">
        <f t="shared" si="45"/>
        <v/>
      </c>
      <c r="C372" s="272" t="str">
        <f t="shared" si="50"/>
        <v/>
      </c>
      <c r="D372" s="272" t="str">
        <f t="shared" si="53"/>
        <v/>
      </c>
      <c r="E372" s="273" t="e">
        <f t="shared" si="46"/>
        <v>#VALUE!</v>
      </c>
      <c r="F372" s="272" t="e">
        <f t="shared" si="47"/>
        <v>#VALUE!</v>
      </c>
      <c r="G372" s="272" t="str">
        <f t="shared" si="51"/>
        <v/>
      </c>
      <c r="H372" s="272" t="str">
        <f t="shared" si="52"/>
        <v/>
      </c>
      <c r="I372" s="272" t="e">
        <f t="shared" si="48"/>
        <v>#VALUE!</v>
      </c>
      <c r="J372" s="272">
        <f>SUM($H$18:$H372)</f>
        <v>0</v>
      </c>
    </row>
    <row r="373" spans="1:10" x14ac:dyDescent="0.2">
      <c r="A373" s="286" t="str">
        <f t="shared" si="49"/>
        <v/>
      </c>
      <c r="B373" s="270" t="str">
        <f t="shared" si="45"/>
        <v/>
      </c>
      <c r="C373" s="272" t="str">
        <f t="shared" si="50"/>
        <v/>
      </c>
      <c r="D373" s="272" t="str">
        <f t="shared" si="53"/>
        <v/>
      </c>
      <c r="E373" s="273" t="e">
        <f t="shared" si="46"/>
        <v>#VALUE!</v>
      </c>
      <c r="F373" s="272" t="e">
        <f t="shared" si="47"/>
        <v>#VALUE!</v>
      </c>
      <c r="G373" s="272" t="str">
        <f t="shared" si="51"/>
        <v/>
      </c>
      <c r="H373" s="272" t="str">
        <f t="shared" si="52"/>
        <v/>
      </c>
      <c r="I373" s="272" t="e">
        <f t="shared" si="48"/>
        <v>#VALUE!</v>
      </c>
      <c r="J373" s="272">
        <f>SUM($H$18:$H373)</f>
        <v>0</v>
      </c>
    </row>
    <row r="374" spans="1:10" x14ac:dyDescent="0.2">
      <c r="A374" s="286" t="str">
        <f t="shared" si="49"/>
        <v/>
      </c>
      <c r="B374" s="270" t="str">
        <f t="shared" si="45"/>
        <v/>
      </c>
      <c r="C374" s="272" t="str">
        <f t="shared" si="50"/>
        <v/>
      </c>
      <c r="D374" s="272" t="str">
        <f t="shared" si="53"/>
        <v/>
      </c>
      <c r="E374" s="273" t="e">
        <f t="shared" si="46"/>
        <v>#VALUE!</v>
      </c>
      <c r="F374" s="272" t="e">
        <f t="shared" si="47"/>
        <v>#VALUE!</v>
      </c>
      <c r="G374" s="272" t="str">
        <f t="shared" si="51"/>
        <v/>
      </c>
      <c r="H374" s="272" t="str">
        <f t="shared" si="52"/>
        <v/>
      </c>
      <c r="I374" s="272" t="e">
        <f t="shared" si="48"/>
        <v>#VALUE!</v>
      </c>
      <c r="J374" s="272">
        <f>SUM($H$18:$H374)</f>
        <v>0</v>
      </c>
    </row>
    <row r="375" spans="1:10" x14ac:dyDescent="0.2">
      <c r="A375" s="286" t="str">
        <f t="shared" si="49"/>
        <v/>
      </c>
      <c r="B375" s="270" t="str">
        <f t="shared" si="45"/>
        <v/>
      </c>
      <c r="C375" s="272" t="str">
        <f t="shared" si="50"/>
        <v/>
      </c>
      <c r="D375" s="272" t="str">
        <f t="shared" si="53"/>
        <v/>
      </c>
      <c r="E375" s="273" t="e">
        <f t="shared" si="46"/>
        <v>#VALUE!</v>
      </c>
      <c r="F375" s="272" t="e">
        <f t="shared" si="47"/>
        <v>#VALUE!</v>
      </c>
      <c r="G375" s="272" t="str">
        <f t="shared" si="51"/>
        <v/>
      </c>
      <c r="H375" s="272" t="str">
        <f t="shared" si="52"/>
        <v/>
      </c>
      <c r="I375" s="272" t="e">
        <f t="shared" si="48"/>
        <v>#VALUE!</v>
      </c>
      <c r="J375" s="272">
        <f>SUM($H$18:$H375)</f>
        <v>0</v>
      </c>
    </row>
    <row r="376" spans="1:10" x14ac:dyDescent="0.2">
      <c r="A376" s="286" t="str">
        <f t="shared" si="49"/>
        <v/>
      </c>
      <c r="B376" s="270" t="str">
        <f t="shared" si="45"/>
        <v/>
      </c>
      <c r="C376" s="272" t="str">
        <f t="shared" si="50"/>
        <v/>
      </c>
      <c r="D376" s="272" t="str">
        <f t="shared" si="53"/>
        <v/>
      </c>
      <c r="E376" s="273" t="e">
        <f t="shared" si="46"/>
        <v>#VALUE!</v>
      </c>
      <c r="F376" s="272" t="e">
        <f t="shared" si="47"/>
        <v>#VALUE!</v>
      </c>
      <c r="G376" s="272" t="str">
        <f t="shared" si="51"/>
        <v/>
      </c>
      <c r="H376" s="272" t="str">
        <f t="shared" si="52"/>
        <v/>
      </c>
      <c r="I376" s="272" t="e">
        <f t="shared" si="48"/>
        <v>#VALUE!</v>
      </c>
      <c r="J376" s="272">
        <f>SUM($H$18:$H376)</f>
        <v>0</v>
      </c>
    </row>
    <row r="377" spans="1:10" x14ac:dyDescent="0.2">
      <c r="A377" s="286" t="str">
        <f t="shared" si="49"/>
        <v/>
      </c>
      <c r="B377" s="270" t="str">
        <f t="shared" si="45"/>
        <v/>
      </c>
      <c r="C377" s="272" t="str">
        <f t="shared" si="50"/>
        <v/>
      </c>
      <c r="D377" s="272" t="str">
        <f t="shared" si="53"/>
        <v/>
      </c>
      <c r="E377" s="273" t="e">
        <f t="shared" si="46"/>
        <v>#VALUE!</v>
      </c>
      <c r="F377" s="272" t="e">
        <f t="shared" si="47"/>
        <v>#VALUE!</v>
      </c>
      <c r="G377" s="272" t="str">
        <f t="shared" si="51"/>
        <v/>
      </c>
      <c r="H377" s="272" t="str">
        <f t="shared" si="52"/>
        <v/>
      </c>
      <c r="I377" s="272" t="e">
        <f t="shared" si="48"/>
        <v>#VALUE!</v>
      </c>
      <c r="J377" s="272">
        <f>SUM($H$18:$H377)</f>
        <v>0</v>
      </c>
    </row>
    <row r="378" spans="1:10" x14ac:dyDescent="0.2">
      <c r="A378" s="287"/>
      <c r="B378" s="288"/>
      <c r="C378" s="288"/>
      <c r="D378" s="288"/>
      <c r="E378" s="288"/>
      <c r="F378" s="288"/>
      <c r="G378" s="288"/>
      <c r="H378" s="288"/>
      <c r="I378" s="288"/>
      <c r="J378" s="288"/>
    </row>
  </sheetData>
  <sheetProtection algorithmName="SHA-512" hashValue="xBOG09GULn+KQwD14hYQWkRR7Fw8HQmcXXXuJedgLvjugpsUrtoGw/y9X0deBOwqSldIhcmsS554q4TV0OMUhQ==" saltValue="INUdMDLrzfL1YDtQJMwbyQ==" spinCount="100000" sheet="1" formatCells="0"/>
  <mergeCells count="10">
    <mergeCell ref="L18:O18"/>
    <mergeCell ref="L19:L21"/>
    <mergeCell ref="M19:O19"/>
    <mergeCell ref="M21:O21"/>
    <mergeCell ref="A1:D1"/>
    <mergeCell ref="K3:N3"/>
    <mergeCell ref="B4:D4"/>
    <mergeCell ref="F4:H4"/>
    <mergeCell ref="K9:N9"/>
    <mergeCell ref="C12:D12"/>
  </mergeCells>
  <conditionalFormatting sqref="A18:E377">
    <cfRule type="expression" dxfId="5" priority="1" stopIfTrue="1">
      <formula>IF(ROW(A18)&gt;Last_Row,TRUE, FALSE)</formula>
    </cfRule>
    <cfRule type="expression" dxfId="4" priority="2" stopIfTrue="1">
      <formula>IF(ROW(A18)=Last_Row,TRUE, FALSE)</formula>
    </cfRule>
    <cfRule type="expression" dxfId="3" priority="3" stopIfTrue="1">
      <formula>IF(ROW(A18)&lt;Last_Row,TRUE, FALSE)</formula>
    </cfRule>
  </conditionalFormatting>
  <conditionalFormatting sqref="F18:J377">
    <cfRule type="expression" dxfId="2" priority="4" stopIfTrue="1">
      <formula>IF(ROW(F18)&gt;Last_Row,TRUE, FALSE)</formula>
    </cfRule>
    <cfRule type="expression" dxfId="1" priority="5" stopIfTrue="1">
      <formula>IF(ROW(F18)=Last_Row,TRUE, FALSE)</formula>
    </cfRule>
    <cfRule type="expression" dxfId="0" priority="6" stopIfTrue="1">
      <formula>IF(ROW(F18)&lt;=Last_Row,TRUE, FALSE)</formula>
    </cfRule>
  </conditionalFormatting>
  <dataValidations count="3">
    <dataValidation allowBlank="1" showInputMessage="1" showErrorMessage="1" promptTitle="Extra Payments" prompt="Enter an amount here if you want to make additional principal payments every pay period._x000a__x000a_For occasional extra payments, enter the extra principal amounts directly in the 'Extra Payment' column below."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0214BADE-0BA8-4BD1-8D61-A21F08A0BDB5}"/>
    <dataValidation type="date" operator="greaterThanOrEqual" allowBlank="1" showInputMessage="1" showErrorMessage="1" errorTitle="Date" error="Please enter a valid date greater than or equal to January 1, 1900." sqref="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WVL983048:WVL983049" xr:uid="{607AFD02-65D5-41CD-B6B6-99C3E2CE33BA}">
      <formula1>1</formula1>
    </dataValidation>
    <dataValidation type="whole" allowBlank="1" showInputMessage="1" showErrorMessage="1" errorTitle="Years" error="Please enter a whole number of years from 1 to 30."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E6A116D5-3F9D-4A80-90C1-ADD3D50F670E}">
      <formula1>1</formula1>
      <formula2>30</formula2>
    </dataValidation>
  </dataValidations>
  <printOptions horizontalCentered="1"/>
  <pageMargins left="0.75" right="0.5" top="0.5" bottom="0.5" header="0.5" footer="0.5"/>
  <pageSetup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Project Information</vt:lpstr>
      <vt:lpstr>Priority Score &amp; PF%</vt:lpstr>
      <vt:lpstr>Interest Rate</vt:lpstr>
      <vt:lpstr> Planning &amp; Design Cost</vt:lpstr>
      <vt:lpstr> Construction Cost</vt:lpstr>
      <vt:lpstr>Construction Cost Increase</vt:lpstr>
      <vt:lpstr>Final Project Costs</vt:lpstr>
      <vt:lpstr>Loan Amortization</vt:lpstr>
      <vt:lpstr>'Loan Amortization'!Beg_Bal</vt:lpstr>
      <vt:lpstr>'Loan Amortization'!Cum_Int</vt:lpstr>
      <vt:lpstr>'Loan Amortization'!Data</vt:lpstr>
      <vt:lpstr>'Loan Amortization'!End_Bal</vt:lpstr>
      <vt:lpstr>'Loan Amortization'!Extra_Pay</vt:lpstr>
      <vt:lpstr>'Loan Amortization'!Full_Print</vt:lpstr>
      <vt:lpstr>'Loan Amortization'!Int</vt:lpstr>
      <vt:lpstr>'Loan Amortization'!Interest_Rate</vt:lpstr>
      <vt:lpstr>'Loan Amortization'!Loan_Amount</vt:lpstr>
      <vt:lpstr>'Loan Amortization'!Loan_Start</vt:lpstr>
      <vt:lpstr>'Loan Amortization'!Loan_Years</vt:lpstr>
      <vt:lpstr>'Loan Amortization'!Num_Pmt_Per_Year</vt:lpstr>
      <vt:lpstr>'Loan Amortization'!Pay_Date</vt:lpstr>
      <vt:lpstr>'Loan Amortization'!Pay_Num</vt:lpstr>
      <vt:lpstr>'Loan Amortization'!Princ</vt:lpstr>
      <vt:lpstr>' Construction Cost'!Print_Area</vt:lpstr>
      <vt:lpstr>'Loan Amortization'!Print_Titles</vt:lpstr>
      <vt:lpstr>'Loan Amortization'!Sched_Pay</vt:lpstr>
      <vt:lpstr>'Loan Amortization'!Scheduled_Extra_Payments</vt:lpstr>
      <vt:lpstr>'Loan Amortization'!Scheduled_Interest_Rate</vt:lpstr>
      <vt:lpstr>'Loan Amortization'!Scheduled_Monthly_Payment</vt:lpstr>
      <vt:lpstr>'Loan Amortization'!Total_Interest</vt:lpstr>
      <vt:lpstr>'Loan Amortization'!Total_Pay</vt:lpstr>
    </vt:vector>
  </TitlesOfParts>
  <Company>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Holmden</dc:creator>
  <cp:lastModifiedBy>SpeasFrost, Shanin</cp:lastModifiedBy>
  <cp:lastPrinted>2020-01-17T16:04:03Z</cp:lastPrinted>
  <dcterms:created xsi:type="dcterms:W3CDTF">1998-07-08T19:39:38Z</dcterms:created>
  <dcterms:modified xsi:type="dcterms:W3CDTF">2022-05-03T21:36:49Z</dcterms:modified>
</cp:coreProperties>
</file>